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Мои документы январь 2012\Настя\ТАРИФИ\Тариф 2026-2027\"/>
    </mc:Choice>
  </mc:AlternateContent>
  <xr:revisionPtr revIDLastSave="0" documentId="13_ncr:1_{09D7ADA8-BF03-4A6A-82BF-7899DA39E79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Додаток 1" sheetId="1" r:id="rId1"/>
    <sheet name="Додаток 2" sheetId="2" r:id="rId2"/>
    <sheet name="Додаток 3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7" i="1" l="1"/>
  <c r="B163" i="2"/>
  <c r="A33" i="3"/>
  <c r="H68" i="1"/>
  <c r="G68" i="1"/>
  <c r="F68" i="1"/>
  <c r="E68" i="1"/>
  <c r="H67" i="1"/>
  <c r="G67" i="1"/>
  <c r="F67" i="1"/>
  <c r="E67" i="1"/>
  <c r="F76" i="2" l="1"/>
  <c r="R32" i="2" l="1"/>
  <c r="O32" i="2"/>
  <c r="L32" i="2"/>
  <c r="I32" i="2"/>
  <c r="H128" i="1" l="1"/>
  <c r="H127" i="1"/>
  <c r="H126" i="1"/>
  <c r="G128" i="1"/>
  <c r="G127" i="1"/>
  <c r="G126" i="1"/>
  <c r="E128" i="1"/>
  <c r="E127" i="1"/>
  <c r="E126" i="1"/>
  <c r="H64" i="1"/>
  <c r="R126" i="2" l="1"/>
  <c r="O126" i="2"/>
  <c r="L126" i="2"/>
  <c r="I126" i="2"/>
  <c r="R122" i="2"/>
  <c r="O122" i="2"/>
  <c r="L122" i="2"/>
  <c r="I122" i="2"/>
  <c r="R118" i="2"/>
  <c r="O118" i="2"/>
  <c r="L118" i="2"/>
  <c r="I118" i="2"/>
  <c r="R86" i="2"/>
  <c r="O86" i="2"/>
  <c r="L86" i="2"/>
  <c r="I86" i="2"/>
  <c r="F86" i="2" l="1"/>
  <c r="R82" i="2"/>
  <c r="O82" i="2"/>
  <c r="L82" i="2"/>
  <c r="I82" i="2"/>
  <c r="F79" i="2"/>
  <c r="F81" i="2"/>
  <c r="R78" i="2"/>
  <c r="O78" i="2"/>
  <c r="L78" i="2"/>
  <c r="I78" i="2"/>
  <c r="R40" i="2"/>
  <c r="O40" i="2"/>
  <c r="L40" i="2"/>
  <c r="I40" i="2"/>
  <c r="R36" i="2"/>
  <c r="O36" i="2"/>
  <c r="L36" i="2"/>
  <c r="I36" i="2"/>
  <c r="H16" i="2" l="1"/>
  <c r="K16" i="2"/>
  <c r="N16" i="2"/>
  <c r="Q16" i="2"/>
  <c r="C30" i="3" l="1"/>
  <c r="C31" i="3"/>
  <c r="J18" i="2"/>
  <c r="F14" i="1" s="1"/>
  <c r="E28" i="2"/>
  <c r="F28" i="2"/>
  <c r="G28" i="2"/>
  <c r="J28" i="2"/>
  <c r="M28" i="2"/>
  <c r="P28" i="2"/>
  <c r="G14" i="2"/>
  <c r="E10" i="1" s="1"/>
  <c r="Q157" i="2"/>
  <c r="N157" i="2"/>
  <c r="K157" i="2"/>
  <c r="H157" i="2"/>
  <c r="E157" i="2"/>
  <c r="Q148" i="2"/>
  <c r="N148" i="2"/>
  <c r="K148" i="2"/>
  <c r="H148" i="2"/>
  <c r="E148" i="2"/>
  <c r="P142" i="2"/>
  <c r="M142" i="2"/>
  <c r="J142" i="2"/>
  <c r="G142" i="2"/>
  <c r="D142" i="2"/>
  <c r="P141" i="2"/>
  <c r="M141" i="2"/>
  <c r="J141" i="2"/>
  <c r="G141" i="2"/>
  <c r="D141" i="2"/>
  <c r="P140" i="2"/>
  <c r="M140" i="2"/>
  <c r="J140" i="2"/>
  <c r="G140" i="2"/>
  <c r="D140" i="2"/>
  <c r="R137" i="2"/>
  <c r="P137" i="2" s="1"/>
  <c r="O137" i="2" s="1"/>
  <c r="M137" i="2" s="1"/>
  <c r="L137" i="2" s="1"/>
  <c r="J137" i="2" s="1"/>
  <c r="I137" i="2" s="1"/>
  <c r="G137" i="2" s="1"/>
  <c r="F137" i="2" s="1"/>
  <c r="D137" i="2" s="1"/>
  <c r="M135" i="2"/>
  <c r="G135" i="2"/>
  <c r="P134" i="2"/>
  <c r="J134" i="2"/>
  <c r="P133" i="2"/>
  <c r="M133" i="2"/>
  <c r="G133" i="2"/>
  <c r="P132" i="2"/>
  <c r="M132" i="2"/>
  <c r="J132" i="2"/>
  <c r="P131" i="2"/>
  <c r="M131" i="2"/>
  <c r="G131" i="2"/>
  <c r="P130" i="2"/>
  <c r="M130" i="2"/>
  <c r="J130" i="2"/>
  <c r="P129" i="2"/>
  <c r="H115" i="1" s="1"/>
  <c r="M129" i="2"/>
  <c r="G115" i="1" s="1"/>
  <c r="G129" i="2"/>
  <c r="E115" i="1" s="1"/>
  <c r="P128" i="2"/>
  <c r="H114" i="1" s="1"/>
  <c r="M128" i="2"/>
  <c r="G114" i="1" s="1"/>
  <c r="J128" i="2"/>
  <c r="F114" i="1" s="1"/>
  <c r="P127" i="2"/>
  <c r="H113" i="1" s="1"/>
  <c r="M127" i="2"/>
  <c r="G113" i="1" s="1"/>
  <c r="J127" i="2"/>
  <c r="F113" i="1" s="1"/>
  <c r="G127" i="2"/>
  <c r="E113" i="1" s="1"/>
  <c r="P126" i="2"/>
  <c r="M126" i="2"/>
  <c r="J126" i="2"/>
  <c r="P125" i="2"/>
  <c r="H111" i="1" s="1"/>
  <c r="M125" i="2"/>
  <c r="G111" i="1" s="1"/>
  <c r="G125" i="2"/>
  <c r="E111" i="1" s="1"/>
  <c r="P124" i="2"/>
  <c r="H110" i="1" s="1"/>
  <c r="M124" i="2"/>
  <c r="G110" i="1" s="1"/>
  <c r="J124" i="2"/>
  <c r="F110" i="1" s="1"/>
  <c r="P123" i="2"/>
  <c r="H109" i="1" s="1"/>
  <c r="M123" i="2"/>
  <c r="G109" i="1" s="1"/>
  <c r="J123" i="2"/>
  <c r="F109" i="1" s="1"/>
  <c r="G123" i="2"/>
  <c r="E109" i="1" s="1"/>
  <c r="P122" i="2"/>
  <c r="M122" i="2"/>
  <c r="G122" i="2"/>
  <c r="P121" i="2"/>
  <c r="H107" i="1" s="1"/>
  <c r="M121" i="2"/>
  <c r="G107" i="1" s="1"/>
  <c r="G121" i="2"/>
  <c r="E107" i="1" s="1"/>
  <c r="P120" i="2"/>
  <c r="H106" i="1" s="1"/>
  <c r="M120" i="2"/>
  <c r="G106" i="1" s="1"/>
  <c r="J120" i="2"/>
  <c r="F106" i="1" s="1"/>
  <c r="G120" i="2"/>
  <c r="E106" i="1" s="1"/>
  <c r="P119" i="2"/>
  <c r="H105" i="1" s="1"/>
  <c r="M119" i="2"/>
  <c r="G105" i="1" s="1"/>
  <c r="J119" i="2"/>
  <c r="F105" i="1" s="1"/>
  <c r="G119" i="2"/>
  <c r="E105" i="1" s="1"/>
  <c r="P118" i="2"/>
  <c r="M118" i="2"/>
  <c r="J118" i="2"/>
  <c r="P117" i="2"/>
  <c r="H103" i="1" s="1"/>
  <c r="M117" i="2"/>
  <c r="G103" i="1" s="1"/>
  <c r="J117" i="2"/>
  <c r="F103" i="1" s="1"/>
  <c r="P116" i="2"/>
  <c r="H102" i="1" s="1"/>
  <c r="O115" i="2"/>
  <c r="J116" i="2"/>
  <c r="F102" i="1" s="1"/>
  <c r="G116" i="2"/>
  <c r="E102" i="1" s="1"/>
  <c r="Q109" i="2"/>
  <c r="N109" i="2"/>
  <c r="K109" i="2"/>
  <c r="H109" i="2"/>
  <c r="E109" i="2"/>
  <c r="P103" i="2"/>
  <c r="M103" i="2"/>
  <c r="J103" i="2"/>
  <c r="G103" i="2"/>
  <c r="D103" i="2"/>
  <c r="M102" i="2"/>
  <c r="J102" i="2"/>
  <c r="G102" i="2"/>
  <c r="D102" i="2"/>
  <c r="P101" i="2"/>
  <c r="M101" i="2"/>
  <c r="G101" i="2"/>
  <c r="D101" i="2"/>
  <c r="Q99" i="2"/>
  <c r="N99" i="2"/>
  <c r="K99" i="2"/>
  <c r="H99" i="2"/>
  <c r="E99" i="2"/>
  <c r="I98" i="2"/>
  <c r="R95" i="2"/>
  <c r="G91" i="2"/>
  <c r="J89" i="2"/>
  <c r="F81" i="1" s="1"/>
  <c r="F89" i="2"/>
  <c r="P88" i="2"/>
  <c r="H80" i="1" s="1"/>
  <c r="E86" i="2"/>
  <c r="P85" i="2"/>
  <c r="H77" i="1" s="1"/>
  <c r="J84" i="2"/>
  <c r="F76" i="1" s="1"/>
  <c r="J83" i="2"/>
  <c r="F75" i="1" s="1"/>
  <c r="P81" i="2"/>
  <c r="H73" i="1" s="1"/>
  <c r="M77" i="2"/>
  <c r="G69" i="1" s="1"/>
  <c r="M74" i="2"/>
  <c r="G66" i="1" s="1"/>
  <c r="G74" i="2"/>
  <c r="E66" i="1" s="1"/>
  <c r="Q71" i="2"/>
  <c r="L71" i="2"/>
  <c r="Q68" i="2"/>
  <c r="N68" i="2"/>
  <c r="K68" i="2"/>
  <c r="H68" i="2"/>
  <c r="E68" i="2"/>
  <c r="Q64" i="2"/>
  <c r="N64" i="2"/>
  <c r="K64" i="2"/>
  <c r="H64" i="2"/>
  <c r="E64" i="2"/>
  <c r="P57" i="2"/>
  <c r="M57" i="2"/>
  <c r="J57" i="2"/>
  <c r="G57" i="2"/>
  <c r="F57" i="2"/>
  <c r="D57" i="2" s="1"/>
  <c r="P56" i="2"/>
  <c r="M56" i="2"/>
  <c r="J56" i="2"/>
  <c r="G56" i="2"/>
  <c r="F56" i="2"/>
  <c r="D56" i="2" s="1"/>
  <c r="P55" i="2"/>
  <c r="M55" i="2"/>
  <c r="J55" i="2"/>
  <c r="G55" i="2"/>
  <c r="F55" i="2"/>
  <c r="D55" i="2" s="1"/>
  <c r="Q53" i="2"/>
  <c r="N53" i="2"/>
  <c r="K53" i="2"/>
  <c r="H53" i="2"/>
  <c r="E53" i="2"/>
  <c r="I51" i="2"/>
  <c r="M49" i="2"/>
  <c r="J49" i="2"/>
  <c r="F49" i="2"/>
  <c r="P48" i="2"/>
  <c r="M48" i="2"/>
  <c r="E48" i="2"/>
  <c r="P46" i="2"/>
  <c r="M46" i="2"/>
  <c r="J46" i="2"/>
  <c r="G46" i="2"/>
  <c r="F46" i="2"/>
  <c r="M45" i="2"/>
  <c r="J45" i="2"/>
  <c r="E45" i="2"/>
  <c r="P44" i="2"/>
  <c r="M44" i="2"/>
  <c r="J44" i="2"/>
  <c r="F44" i="2"/>
  <c r="E44" i="2"/>
  <c r="F43" i="2"/>
  <c r="D43" i="2" s="1"/>
  <c r="E43" i="2"/>
  <c r="P42" i="2"/>
  <c r="H40" i="1" s="1"/>
  <c r="M42" i="2"/>
  <c r="G40" i="1" s="1"/>
  <c r="J42" i="2"/>
  <c r="F40" i="1" s="1"/>
  <c r="G42" i="2"/>
  <c r="E40" i="1" s="1"/>
  <c r="P41" i="2"/>
  <c r="H39" i="1" s="1"/>
  <c r="M41" i="2"/>
  <c r="G39" i="1" s="1"/>
  <c r="J41" i="2"/>
  <c r="F39" i="1" s="1"/>
  <c r="G41" i="2"/>
  <c r="E39" i="1" s="1"/>
  <c r="F41" i="2"/>
  <c r="P40" i="2"/>
  <c r="M40" i="2"/>
  <c r="J40" i="2"/>
  <c r="G40" i="2"/>
  <c r="E40" i="2"/>
  <c r="P38" i="2"/>
  <c r="H36" i="1" s="1"/>
  <c r="M38" i="2"/>
  <c r="G36" i="1" s="1"/>
  <c r="J38" i="2"/>
  <c r="F36" i="1" s="1"/>
  <c r="G38" i="2"/>
  <c r="E36" i="1" s="1"/>
  <c r="F38" i="2"/>
  <c r="M37" i="2"/>
  <c r="G35" i="1" s="1"/>
  <c r="J37" i="2"/>
  <c r="F35" i="1" s="1"/>
  <c r="F37" i="2"/>
  <c r="E37" i="2"/>
  <c r="P36" i="2"/>
  <c r="M36" i="2"/>
  <c r="J36" i="2"/>
  <c r="F36" i="2"/>
  <c r="E36" i="2"/>
  <c r="P35" i="2"/>
  <c r="H33" i="1" s="1"/>
  <c r="M35" i="2"/>
  <c r="G33" i="1" s="1"/>
  <c r="F35" i="2"/>
  <c r="P34" i="2"/>
  <c r="H32" i="1" s="1"/>
  <c r="J34" i="2"/>
  <c r="F32" i="1" s="1"/>
  <c r="G34" i="2"/>
  <c r="E32" i="1" s="1"/>
  <c r="P33" i="2"/>
  <c r="H31" i="1" s="1"/>
  <c r="M33" i="2"/>
  <c r="G31" i="1" s="1"/>
  <c r="J33" i="2"/>
  <c r="F31" i="1" s="1"/>
  <c r="G33" i="2"/>
  <c r="E31" i="1" s="1"/>
  <c r="F33" i="2"/>
  <c r="E32" i="2"/>
  <c r="P31" i="2"/>
  <c r="H29" i="1" s="1"/>
  <c r="M31" i="2"/>
  <c r="G29" i="1" s="1"/>
  <c r="F31" i="2"/>
  <c r="J31" i="2"/>
  <c r="F29" i="1" s="1"/>
  <c r="G31" i="2"/>
  <c r="E29" i="1" s="1"/>
  <c r="M30" i="2"/>
  <c r="G28" i="1" s="1"/>
  <c r="J30" i="2"/>
  <c r="F28" i="1" s="1"/>
  <c r="G30" i="2"/>
  <c r="E28" i="1" s="1"/>
  <c r="F30" i="2"/>
  <c r="M29" i="2"/>
  <c r="G27" i="1" s="1"/>
  <c r="J29" i="2"/>
  <c r="F27" i="1" s="1"/>
  <c r="F29" i="2"/>
  <c r="E29" i="2"/>
  <c r="P27" i="2"/>
  <c r="H23" i="1" s="1"/>
  <c r="F27" i="2"/>
  <c r="J27" i="2"/>
  <c r="F23" i="1" s="1"/>
  <c r="G27" i="2"/>
  <c r="E23" i="1" s="1"/>
  <c r="O23" i="2"/>
  <c r="O22" i="2" s="1"/>
  <c r="O21" i="2" s="1"/>
  <c r="O50" i="2" s="1"/>
  <c r="M26" i="2"/>
  <c r="G22" i="1" s="1"/>
  <c r="J26" i="2"/>
  <c r="F22" i="1" s="1"/>
  <c r="G26" i="2"/>
  <c r="E22" i="1" s="1"/>
  <c r="F26" i="2"/>
  <c r="R23" i="2"/>
  <c r="M25" i="2"/>
  <c r="G21" i="1" s="1"/>
  <c r="J25" i="2"/>
  <c r="F21" i="1" s="1"/>
  <c r="F25" i="2"/>
  <c r="E25" i="2"/>
  <c r="Q23" i="2"/>
  <c r="M24" i="2"/>
  <c r="G20" i="1" s="1"/>
  <c r="J24" i="2"/>
  <c r="F20" i="1" s="1"/>
  <c r="E24" i="2"/>
  <c r="L23" i="2"/>
  <c r="K23" i="2"/>
  <c r="K22" i="2" s="1"/>
  <c r="K21" i="2" s="1"/>
  <c r="H23" i="2"/>
  <c r="H22" i="2" s="1"/>
  <c r="H21" i="2" s="1"/>
  <c r="M19" i="2"/>
  <c r="G15" i="1" s="1"/>
  <c r="J19" i="2"/>
  <c r="F15" i="1" s="1"/>
  <c r="G19" i="2"/>
  <c r="E15" i="1" s="1"/>
  <c r="P18" i="2"/>
  <c r="H14" i="1" s="1"/>
  <c r="M18" i="2"/>
  <c r="G14" i="1" s="1"/>
  <c r="G18" i="2"/>
  <c r="E14" i="1" s="1"/>
  <c r="M16" i="2"/>
  <c r="G12" i="1" s="1"/>
  <c r="J16" i="2"/>
  <c r="F12" i="1" s="1"/>
  <c r="G16" i="2"/>
  <c r="E12" i="1" s="1"/>
  <c r="P15" i="2"/>
  <c r="H11" i="1" s="1"/>
  <c r="M15" i="2"/>
  <c r="G11" i="1" s="1"/>
  <c r="J15" i="2"/>
  <c r="F11" i="1" s="1"/>
  <c r="G15" i="2"/>
  <c r="M14" i="2"/>
  <c r="G10" i="1" s="1"/>
  <c r="J14" i="2"/>
  <c r="F10" i="1" s="1"/>
  <c r="D126" i="1"/>
  <c r="D121" i="1"/>
  <c r="D120" i="1"/>
  <c r="D119" i="1"/>
  <c r="D118" i="1"/>
  <c r="D117" i="1"/>
  <c r="D116" i="1"/>
  <c r="H95" i="1"/>
  <c r="G95" i="1"/>
  <c r="F95" i="1"/>
  <c r="E95" i="1"/>
  <c r="H94" i="1"/>
  <c r="G94" i="1"/>
  <c r="F94" i="1"/>
  <c r="E94" i="1"/>
  <c r="H93" i="1"/>
  <c r="G93" i="1"/>
  <c r="F93" i="1"/>
  <c r="E93" i="1"/>
  <c r="D85" i="1"/>
  <c r="D84" i="1"/>
  <c r="D83" i="1"/>
  <c r="H82" i="1"/>
  <c r="G82" i="1"/>
  <c r="F82" i="1"/>
  <c r="E82" i="1"/>
  <c r="D65" i="1"/>
  <c r="G104" i="1" l="1"/>
  <c r="G108" i="1"/>
  <c r="G112" i="1"/>
  <c r="E11" i="1"/>
  <c r="D11" i="1" s="1"/>
  <c r="D15" i="2"/>
  <c r="D127" i="1"/>
  <c r="D36" i="1"/>
  <c r="D24" i="1"/>
  <c r="D29" i="1"/>
  <c r="D94" i="1"/>
  <c r="H112" i="1"/>
  <c r="D14" i="1"/>
  <c r="F19" i="1"/>
  <c r="F18" i="1" s="1"/>
  <c r="D25" i="1"/>
  <c r="D53" i="1"/>
  <c r="D54" i="1"/>
  <c r="D55" i="1"/>
  <c r="D67" i="1"/>
  <c r="D93" i="1"/>
  <c r="H104" i="1"/>
  <c r="G19" i="1"/>
  <c r="D26" i="1"/>
  <c r="D68" i="1"/>
  <c r="D106" i="1"/>
  <c r="D128" i="1"/>
  <c r="D31" i="1"/>
  <c r="H30" i="1"/>
  <c r="D39" i="1"/>
  <c r="D95" i="1"/>
  <c r="D109" i="1"/>
  <c r="P43" i="2"/>
  <c r="H41" i="1" s="1"/>
  <c r="H38" i="1" s="1"/>
  <c r="J43" i="2"/>
  <c r="F41" i="1" s="1"/>
  <c r="F38" i="1" s="1"/>
  <c r="P32" i="2"/>
  <c r="J39" i="2"/>
  <c r="F37" i="1" s="1"/>
  <c r="F34" i="1" s="1"/>
  <c r="P80" i="2"/>
  <c r="H72" i="1" s="1"/>
  <c r="P92" i="2"/>
  <c r="E78" i="2"/>
  <c r="M81" i="2"/>
  <c r="G73" i="1" s="1"/>
  <c r="G83" i="2"/>
  <c r="E75" i="1" s="1"/>
  <c r="D28" i="2"/>
  <c r="G72" i="2"/>
  <c r="E64" i="1" s="1"/>
  <c r="E63" i="1" s="1"/>
  <c r="M72" i="2"/>
  <c r="G64" i="1" s="1"/>
  <c r="G63" i="1" s="1"/>
  <c r="G79" i="2"/>
  <c r="G80" i="2"/>
  <c r="E72" i="1" s="1"/>
  <c r="G81" i="2"/>
  <c r="E73" i="1" s="1"/>
  <c r="J93" i="2"/>
  <c r="P93" i="2"/>
  <c r="E95" i="2"/>
  <c r="F120" i="2"/>
  <c r="D120" i="2" s="1"/>
  <c r="F91" i="2"/>
  <c r="P115" i="2"/>
  <c r="J74" i="2"/>
  <c r="F66" i="1" s="1"/>
  <c r="J75" i="2"/>
  <c r="J76" i="2"/>
  <c r="P77" i="2"/>
  <c r="H69" i="1" s="1"/>
  <c r="J80" i="2"/>
  <c r="F72" i="1" s="1"/>
  <c r="M88" i="2"/>
  <c r="G80" i="1" s="1"/>
  <c r="G92" i="2"/>
  <c r="M93" i="2"/>
  <c r="P84" i="2"/>
  <c r="H76" i="1" s="1"/>
  <c r="E93" i="2"/>
  <c r="F123" i="2"/>
  <c r="D123" i="2" s="1"/>
  <c r="F74" i="2"/>
  <c r="P76" i="2"/>
  <c r="M83" i="2"/>
  <c r="G75" i="1" s="1"/>
  <c r="E85" i="2"/>
  <c r="P87" i="2"/>
  <c r="H79" i="1" s="1"/>
  <c r="F116" i="2"/>
  <c r="D116" i="2" s="1"/>
  <c r="F135" i="2"/>
  <c r="D135" i="2" s="1"/>
  <c r="G75" i="2"/>
  <c r="M75" i="2"/>
  <c r="E77" i="2"/>
  <c r="J79" i="2"/>
  <c r="F71" i="1" s="1"/>
  <c r="P79" i="2"/>
  <c r="H71" i="1" s="1"/>
  <c r="F82" i="2"/>
  <c r="M85" i="2"/>
  <c r="G77" i="1" s="1"/>
  <c r="G88" i="2"/>
  <c r="E80" i="1" s="1"/>
  <c r="P91" i="2"/>
  <c r="J92" i="2"/>
  <c r="F119" i="2"/>
  <c r="D119" i="2" s="1"/>
  <c r="E90" i="2"/>
  <c r="J23" i="2"/>
  <c r="J22" i="2" s="1"/>
  <c r="M43" i="2"/>
  <c r="G41" i="1" s="1"/>
  <c r="G38" i="1" s="1"/>
  <c r="N71" i="2"/>
  <c r="N70" i="2" s="1"/>
  <c r="N96" i="2" s="1"/>
  <c r="N105" i="2" s="1"/>
  <c r="N107" i="2" s="1"/>
  <c r="P74" i="2"/>
  <c r="H66" i="1" s="1"/>
  <c r="H63" i="1" s="1"/>
  <c r="M76" i="2"/>
  <c r="J77" i="2"/>
  <c r="F69" i="1" s="1"/>
  <c r="M79" i="2"/>
  <c r="G71" i="1" s="1"/>
  <c r="E82" i="2"/>
  <c r="F84" i="2"/>
  <c r="M84" i="2"/>
  <c r="G76" i="1" s="1"/>
  <c r="J85" i="2"/>
  <c r="F77" i="1" s="1"/>
  <c r="F74" i="1" s="1"/>
  <c r="M87" i="2"/>
  <c r="G79" i="1" s="1"/>
  <c r="G89" i="2"/>
  <c r="E81" i="1" s="1"/>
  <c r="P89" i="2"/>
  <c r="H81" i="1" s="1"/>
  <c r="M91" i="2"/>
  <c r="M92" i="2"/>
  <c r="Q70" i="2"/>
  <c r="Q96" i="2" s="1"/>
  <c r="Q105" i="2" s="1"/>
  <c r="Q107" i="2" s="1"/>
  <c r="E73" i="2"/>
  <c r="F78" i="2"/>
  <c r="E88" i="2"/>
  <c r="E92" i="2"/>
  <c r="L115" i="2"/>
  <c r="L136" i="2" s="1"/>
  <c r="L70" i="2"/>
  <c r="L96" i="2" s="1"/>
  <c r="P72" i="2"/>
  <c r="P75" i="2"/>
  <c r="F77" i="2"/>
  <c r="M80" i="2"/>
  <c r="G72" i="1" s="1"/>
  <c r="E81" i="2"/>
  <c r="D81" i="2" s="1"/>
  <c r="J81" i="2"/>
  <c r="F73" i="1" s="1"/>
  <c r="P83" i="2"/>
  <c r="F85" i="2"/>
  <c r="J91" i="2"/>
  <c r="F93" i="2"/>
  <c r="D93" i="2" s="1"/>
  <c r="M116" i="2"/>
  <c r="D44" i="2"/>
  <c r="D36" i="2"/>
  <c r="G43" i="2"/>
  <c r="E41" i="1" s="1"/>
  <c r="E38" i="1" s="1"/>
  <c r="P16" i="2"/>
  <c r="E16" i="2"/>
  <c r="K71" i="2"/>
  <c r="K70" i="2" s="1"/>
  <c r="K96" i="2" s="1"/>
  <c r="K105" i="2" s="1"/>
  <c r="J72" i="2"/>
  <c r="F64" i="1" s="1"/>
  <c r="F95" i="2"/>
  <c r="K50" i="2"/>
  <c r="K59" i="2" s="1"/>
  <c r="K62" i="2" s="1"/>
  <c r="E35" i="2"/>
  <c r="D35" i="2" s="1"/>
  <c r="G35" i="2"/>
  <c r="J48" i="2"/>
  <c r="E76" i="2"/>
  <c r="D76" i="2" s="1"/>
  <c r="G76" i="2"/>
  <c r="M89" i="2"/>
  <c r="G81" i="1" s="1"/>
  <c r="E89" i="2"/>
  <c r="D89" i="2" s="1"/>
  <c r="G45" i="2"/>
  <c r="F45" i="2"/>
  <c r="D45" i="2" s="1"/>
  <c r="P19" i="2"/>
  <c r="E19" i="2"/>
  <c r="F24" i="2"/>
  <c r="F23" i="2" s="1"/>
  <c r="F22" i="2" s="1"/>
  <c r="I23" i="2"/>
  <c r="I22" i="2" s="1"/>
  <c r="I21" i="2" s="1"/>
  <c r="G21" i="2" s="1"/>
  <c r="D18" i="2"/>
  <c r="P14" i="2"/>
  <c r="E14" i="2"/>
  <c r="E18" i="2"/>
  <c r="R22" i="2"/>
  <c r="R21" i="2" s="1"/>
  <c r="R50" i="2" s="1"/>
  <c r="F73" i="2"/>
  <c r="I71" i="2"/>
  <c r="I70" i="2" s="1"/>
  <c r="I96" i="2" s="1"/>
  <c r="E84" i="2"/>
  <c r="G84" i="2"/>
  <c r="E76" i="1" s="1"/>
  <c r="G117" i="2"/>
  <c r="E103" i="1" s="1"/>
  <c r="D103" i="1" s="1"/>
  <c r="I115" i="2"/>
  <c r="I136" i="2" s="1"/>
  <c r="F117" i="2"/>
  <c r="D117" i="2" s="1"/>
  <c r="J121" i="2"/>
  <c r="F107" i="1" s="1"/>
  <c r="F104" i="1" s="1"/>
  <c r="F121" i="2"/>
  <c r="D121" i="2" s="1"/>
  <c r="D25" i="2"/>
  <c r="N23" i="2"/>
  <c r="N22" i="2" s="1"/>
  <c r="N21" i="2" s="1"/>
  <c r="M21" i="2" s="1"/>
  <c r="M50" i="2" s="1"/>
  <c r="O58" i="2" s="1"/>
  <c r="D29" i="2"/>
  <c r="E34" i="2"/>
  <c r="D37" i="2"/>
  <c r="E42" i="2"/>
  <c r="G48" i="2"/>
  <c r="H50" i="2"/>
  <c r="H59" i="2" s="1"/>
  <c r="H62" i="2" s="1"/>
  <c r="P49" i="2"/>
  <c r="E72" i="2"/>
  <c r="E75" i="2"/>
  <c r="E83" i="2"/>
  <c r="J87" i="2"/>
  <c r="F79" i="1" s="1"/>
  <c r="F87" i="2"/>
  <c r="P102" i="2"/>
  <c r="G124" i="2"/>
  <c r="E110" i="1" s="1"/>
  <c r="D110" i="1" s="1"/>
  <c r="F124" i="2"/>
  <c r="D124" i="2" s="1"/>
  <c r="J125" i="2"/>
  <c r="F111" i="1" s="1"/>
  <c r="F108" i="1" s="1"/>
  <c r="F125" i="2"/>
  <c r="D125" i="2" s="1"/>
  <c r="L22" i="2"/>
  <c r="L21" i="2" s="1"/>
  <c r="J21" i="2" s="1"/>
  <c r="P24" i="2"/>
  <c r="H20" i="1" s="1"/>
  <c r="E26" i="2"/>
  <c r="D26" i="2" s="1"/>
  <c r="P26" i="2"/>
  <c r="H22" i="1" s="1"/>
  <c r="D22" i="1" s="1"/>
  <c r="E27" i="2"/>
  <c r="D27" i="2" s="1"/>
  <c r="M27" i="2"/>
  <c r="G23" i="1" s="1"/>
  <c r="D23" i="1" s="1"/>
  <c r="E30" i="2"/>
  <c r="D30" i="2" s="1"/>
  <c r="P30" i="2"/>
  <c r="H28" i="1" s="1"/>
  <c r="D28" i="1" s="1"/>
  <c r="E31" i="2"/>
  <c r="D31" i="2" s="1"/>
  <c r="F32" i="2"/>
  <c r="M34" i="2"/>
  <c r="J35" i="2"/>
  <c r="E39" i="2"/>
  <c r="F40" i="2"/>
  <c r="D40" i="2" s="1"/>
  <c r="J47" i="2"/>
  <c r="E47" i="2"/>
  <c r="F48" i="2"/>
  <c r="D48" i="2" s="1"/>
  <c r="G49" i="2"/>
  <c r="R71" i="2"/>
  <c r="R70" i="2" s="1"/>
  <c r="E80" i="2"/>
  <c r="E87" i="2"/>
  <c r="G87" i="2"/>
  <c r="E79" i="1" s="1"/>
  <c r="F90" i="2"/>
  <c r="J122" i="2"/>
  <c r="J115" i="2" s="1"/>
  <c r="F122" i="2"/>
  <c r="D122" i="2" s="1"/>
  <c r="J131" i="2"/>
  <c r="F131" i="2"/>
  <c r="D131" i="2" s="1"/>
  <c r="F15" i="2"/>
  <c r="G24" i="2"/>
  <c r="E20" i="1" s="1"/>
  <c r="M23" i="2"/>
  <c r="Q22" i="2"/>
  <c r="Q21" i="2" s="1"/>
  <c r="G25" i="2"/>
  <c r="E21" i="1" s="1"/>
  <c r="P25" i="2"/>
  <c r="H21" i="1" s="1"/>
  <c r="G29" i="2"/>
  <c r="E27" i="1" s="1"/>
  <c r="P29" i="2"/>
  <c r="H27" i="1" s="1"/>
  <c r="E33" i="2"/>
  <c r="D33" i="2" s="1"/>
  <c r="F34" i="2"/>
  <c r="G36" i="2"/>
  <c r="M39" i="2"/>
  <c r="G37" i="1" s="1"/>
  <c r="G34" i="1" s="1"/>
  <c r="G37" i="2"/>
  <c r="E35" i="1" s="1"/>
  <c r="P37" i="2"/>
  <c r="E38" i="2"/>
  <c r="D38" i="2" s="1"/>
  <c r="F39" i="2"/>
  <c r="E41" i="2"/>
  <c r="D41" i="2" s="1"/>
  <c r="F42" i="2"/>
  <c r="G44" i="2"/>
  <c r="M47" i="2"/>
  <c r="P45" i="2"/>
  <c r="P47" i="2" s="1"/>
  <c r="E46" i="2"/>
  <c r="D46" i="2" s="1"/>
  <c r="F47" i="2"/>
  <c r="E49" i="2"/>
  <c r="F72" i="2"/>
  <c r="O71" i="2"/>
  <c r="O70" i="2" s="1"/>
  <c r="O96" i="2" s="1"/>
  <c r="E74" i="2"/>
  <c r="F75" i="2"/>
  <c r="G77" i="2"/>
  <c r="E69" i="1" s="1"/>
  <c r="E79" i="2"/>
  <c r="D79" i="2" s="1"/>
  <c r="F80" i="2"/>
  <c r="F83" i="2"/>
  <c r="G85" i="2"/>
  <c r="E77" i="1" s="1"/>
  <c r="E91" i="2"/>
  <c r="J101" i="2"/>
  <c r="F88" i="2"/>
  <c r="D88" i="2" s="1"/>
  <c r="G132" i="2"/>
  <c r="F132" i="2"/>
  <c r="D132" i="2" s="1"/>
  <c r="J133" i="2"/>
  <c r="F133" i="2"/>
  <c r="D133" i="2" s="1"/>
  <c r="M134" i="2"/>
  <c r="O136" i="2"/>
  <c r="H71" i="2"/>
  <c r="H70" i="2" s="1"/>
  <c r="H96" i="2" s="1"/>
  <c r="H105" i="2" s="1"/>
  <c r="H107" i="2" s="1"/>
  <c r="J88" i="2"/>
  <c r="F80" i="1" s="1"/>
  <c r="F92" i="2"/>
  <c r="G93" i="2"/>
  <c r="R94" i="2"/>
  <c r="F94" i="2" s="1"/>
  <c r="E94" i="2"/>
  <c r="R115" i="2"/>
  <c r="R136" i="2" s="1"/>
  <c r="G118" i="2"/>
  <c r="F118" i="2"/>
  <c r="D118" i="2" s="1"/>
  <c r="F127" i="2"/>
  <c r="D127" i="2" s="1"/>
  <c r="G128" i="2"/>
  <c r="E114" i="1" s="1"/>
  <c r="D114" i="1" s="1"/>
  <c r="F128" i="2"/>
  <c r="D128" i="2" s="1"/>
  <c r="J129" i="2"/>
  <c r="F115" i="1" s="1"/>
  <c r="D115" i="1" s="1"/>
  <c r="F129" i="2"/>
  <c r="D129" i="2" s="1"/>
  <c r="G126" i="2"/>
  <c r="F126" i="2"/>
  <c r="D126" i="2" s="1"/>
  <c r="G130" i="2"/>
  <c r="F130" i="2"/>
  <c r="D130" i="2" s="1"/>
  <c r="G134" i="2"/>
  <c r="F134" i="2"/>
  <c r="D134" i="2" s="1"/>
  <c r="P135" i="2"/>
  <c r="J135" i="2"/>
  <c r="D82" i="1"/>
  <c r="H108" i="1"/>
  <c r="D40" i="1"/>
  <c r="E104" i="1"/>
  <c r="D105" i="1"/>
  <c r="D113" i="1"/>
  <c r="P90" i="2" l="1"/>
  <c r="D77" i="2"/>
  <c r="K107" i="2"/>
  <c r="F101" i="1"/>
  <c r="F112" i="1"/>
  <c r="E112" i="1"/>
  <c r="H101" i="1"/>
  <c r="H122" i="1" s="1"/>
  <c r="H129" i="1" s="1"/>
  <c r="H125" i="1" s="1"/>
  <c r="H124" i="1" s="1"/>
  <c r="H130" i="1" s="1"/>
  <c r="H78" i="1"/>
  <c r="E74" i="1"/>
  <c r="D72" i="1"/>
  <c r="D69" i="1"/>
  <c r="F63" i="1"/>
  <c r="D21" i="1"/>
  <c r="D111" i="1"/>
  <c r="E108" i="1"/>
  <c r="E101" i="1" s="1"/>
  <c r="D107" i="1"/>
  <c r="D104" i="1"/>
  <c r="M115" i="2"/>
  <c r="G102" i="1"/>
  <c r="D81" i="1"/>
  <c r="G78" i="1"/>
  <c r="F78" i="1"/>
  <c r="D80" i="1"/>
  <c r="E78" i="1"/>
  <c r="D79" i="1"/>
  <c r="J82" i="2"/>
  <c r="D77" i="1"/>
  <c r="G74" i="1"/>
  <c r="D76" i="1"/>
  <c r="P82" i="2"/>
  <c r="H75" i="1"/>
  <c r="H74" i="1" s="1"/>
  <c r="D66" i="1"/>
  <c r="G70" i="1"/>
  <c r="F70" i="1"/>
  <c r="D73" i="1"/>
  <c r="H70" i="1"/>
  <c r="E71" i="1"/>
  <c r="G78" i="2"/>
  <c r="D64" i="1"/>
  <c r="D41" i="1"/>
  <c r="D38" i="1" s="1"/>
  <c r="P39" i="2"/>
  <c r="H37" i="1" s="1"/>
  <c r="H35" i="1"/>
  <c r="J32" i="2"/>
  <c r="F33" i="1"/>
  <c r="F30" i="1" s="1"/>
  <c r="F17" i="1" s="1"/>
  <c r="F48" i="1" s="1"/>
  <c r="G32" i="2"/>
  <c r="E33" i="1"/>
  <c r="M32" i="2"/>
  <c r="G32" i="1"/>
  <c r="D27" i="1"/>
  <c r="G18" i="1"/>
  <c r="H19" i="1"/>
  <c r="H18" i="1" s="1"/>
  <c r="D20" i="1"/>
  <c r="K66" i="2"/>
  <c r="E19" i="1"/>
  <c r="E18" i="1" s="1"/>
  <c r="D19" i="2"/>
  <c r="H15" i="1"/>
  <c r="D16" i="2"/>
  <c r="H12" i="1"/>
  <c r="D12" i="1" s="1"/>
  <c r="D14" i="2"/>
  <c r="H10" i="1"/>
  <c r="D10" i="1" s="1"/>
  <c r="P86" i="2"/>
  <c r="M82" i="2"/>
  <c r="P78" i="2"/>
  <c r="J78" i="2"/>
  <c r="M71" i="2"/>
  <c r="G71" i="2"/>
  <c r="G115" i="2"/>
  <c r="M86" i="2"/>
  <c r="D74" i="2"/>
  <c r="J71" i="2"/>
  <c r="M90" i="2"/>
  <c r="J90" i="2"/>
  <c r="D91" i="2"/>
  <c r="F21" i="2"/>
  <c r="F50" i="2" s="1"/>
  <c r="I50" i="2"/>
  <c r="D84" i="2"/>
  <c r="G90" i="2"/>
  <c r="P21" i="2"/>
  <c r="P50" i="2" s="1"/>
  <c r="R58" i="2" s="1"/>
  <c r="G86" i="2"/>
  <c r="D85" i="2"/>
  <c r="D87" i="2"/>
  <c r="D86" i="2" s="1"/>
  <c r="M78" i="2"/>
  <c r="D92" i="2"/>
  <c r="G82" i="2"/>
  <c r="F115" i="2"/>
  <c r="F136" i="2" s="1"/>
  <c r="G47" i="2"/>
  <c r="P71" i="2"/>
  <c r="J86" i="2"/>
  <c r="N50" i="2"/>
  <c r="N59" i="2" s="1"/>
  <c r="N62" i="2" s="1"/>
  <c r="M62" i="2" s="1"/>
  <c r="E12" i="3" s="1"/>
  <c r="M22" i="2"/>
  <c r="D39" i="2"/>
  <c r="E23" i="2"/>
  <c r="E22" i="2" s="1"/>
  <c r="E21" i="2" s="1"/>
  <c r="M58" i="2"/>
  <c r="G56" i="1" s="1"/>
  <c r="O54" i="2"/>
  <c r="N111" i="2"/>
  <c r="M107" i="2"/>
  <c r="R143" i="2"/>
  <c r="P136" i="2"/>
  <c r="O143" i="2"/>
  <c r="M136" i="2"/>
  <c r="D47" i="2"/>
  <c r="F71" i="2"/>
  <c r="F70" i="2" s="1"/>
  <c r="F96" i="2" s="1"/>
  <c r="H155" i="2"/>
  <c r="G62" i="2"/>
  <c r="C12" i="3" s="1"/>
  <c r="H66" i="2"/>
  <c r="D83" i="2"/>
  <c r="J62" i="2"/>
  <c r="D12" i="3" s="1"/>
  <c r="D115" i="2"/>
  <c r="D49" i="2"/>
  <c r="G23" i="2"/>
  <c r="G22" i="2" s="1"/>
  <c r="D80" i="2"/>
  <c r="P23" i="2"/>
  <c r="P22" i="2" s="1"/>
  <c r="D75" i="2"/>
  <c r="I143" i="2"/>
  <c r="G136" i="2"/>
  <c r="P107" i="2"/>
  <c r="Q111" i="2"/>
  <c r="J50" i="2"/>
  <c r="L58" i="2" s="1"/>
  <c r="Q50" i="2"/>
  <c r="Q59" i="2" s="1"/>
  <c r="Q62" i="2" s="1"/>
  <c r="Q66" i="2" s="1"/>
  <c r="D42" i="2"/>
  <c r="L143" i="2"/>
  <c r="J136" i="2"/>
  <c r="R96" i="2"/>
  <c r="H111" i="2"/>
  <c r="G107" i="2"/>
  <c r="C13" i="3" s="1"/>
  <c r="G39" i="2"/>
  <c r="E37" i="1" s="1"/>
  <c r="G50" i="2"/>
  <c r="I58" i="2" s="1"/>
  <c r="D72" i="2"/>
  <c r="E71" i="2"/>
  <c r="E70" i="2" s="1"/>
  <c r="E96" i="2" s="1"/>
  <c r="E105" i="2" s="1"/>
  <c r="E107" i="2" s="1"/>
  <c r="D34" i="2"/>
  <c r="D32" i="2" s="1"/>
  <c r="D24" i="2"/>
  <c r="D23" i="2" s="1"/>
  <c r="D22" i="2" s="1"/>
  <c r="L50" i="2"/>
  <c r="D95" i="2"/>
  <c r="D23" i="3" l="1"/>
  <c r="K155" i="2"/>
  <c r="K159" i="2" s="1"/>
  <c r="J159" i="2" s="1"/>
  <c r="D108" i="1"/>
  <c r="D19" i="1"/>
  <c r="D18" i="1" s="1"/>
  <c r="D63" i="1"/>
  <c r="D112" i="1"/>
  <c r="E122" i="1"/>
  <c r="E129" i="1" s="1"/>
  <c r="E125" i="1" s="1"/>
  <c r="K111" i="2"/>
  <c r="J107" i="2"/>
  <c r="J111" i="2" s="1"/>
  <c r="Q155" i="2"/>
  <c r="Q159" i="2" s="1"/>
  <c r="P159" i="2" s="1"/>
  <c r="F122" i="1"/>
  <c r="F129" i="1" s="1"/>
  <c r="F125" i="1" s="1"/>
  <c r="F124" i="1" s="1"/>
  <c r="F130" i="1" s="1"/>
  <c r="F131" i="1" s="1"/>
  <c r="F132" i="1" s="1"/>
  <c r="D78" i="1"/>
  <c r="D75" i="1"/>
  <c r="D74" i="1"/>
  <c r="G62" i="1"/>
  <c r="G88" i="1" s="1"/>
  <c r="G96" i="1" s="1"/>
  <c r="G92" i="1" s="1"/>
  <c r="G91" i="1" s="1"/>
  <c r="G97" i="1" s="1"/>
  <c r="G98" i="1" s="1"/>
  <c r="G99" i="1" s="1"/>
  <c r="J70" i="2"/>
  <c r="J96" i="2" s="1"/>
  <c r="F62" i="1"/>
  <c r="F88" i="1" s="1"/>
  <c r="F96" i="1" s="1"/>
  <c r="F92" i="1" s="1"/>
  <c r="F91" i="1" s="1"/>
  <c r="F97" i="1" s="1"/>
  <c r="F98" i="1" s="1"/>
  <c r="H34" i="1"/>
  <c r="H17" i="1" s="1"/>
  <c r="H48" i="1" s="1"/>
  <c r="H131" i="1"/>
  <c r="H132" i="1" s="1"/>
  <c r="G101" i="1"/>
  <c r="G122" i="1" s="1"/>
  <c r="D102" i="1"/>
  <c r="D101" i="1" s="1"/>
  <c r="H62" i="1"/>
  <c r="H88" i="1" s="1"/>
  <c r="H96" i="1" s="1"/>
  <c r="H92" i="1" s="1"/>
  <c r="H91" i="1" s="1"/>
  <c r="H97" i="1" s="1"/>
  <c r="H98" i="1" s="1"/>
  <c r="P70" i="2"/>
  <c r="P96" i="2" s="1"/>
  <c r="R104" i="2" s="1"/>
  <c r="E70" i="1"/>
  <c r="D71" i="1"/>
  <c r="M70" i="2"/>
  <c r="M96" i="2" s="1"/>
  <c r="D107" i="2"/>
  <c r="D111" i="2" s="1"/>
  <c r="G70" i="2"/>
  <c r="G96" i="2" s="1"/>
  <c r="D35" i="1"/>
  <c r="D37" i="1"/>
  <c r="E34" i="1"/>
  <c r="E30" i="1"/>
  <c r="D33" i="1"/>
  <c r="D32" i="1"/>
  <c r="G30" i="1"/>
  <c r="G17" i="1" s="1"/>
  <c r="G48" i="1" s="1"/>
  <c r="D15" i="1"/>
  <c r="M66" i="2"/>
  <c r="E23" i="3"/>
  <c r="J66" i="2"/>
  <c r="G66" i="2"/>
  <c r="C23" i="3"/>
  <c r="P111" i="2"/>
  <c r="F13" i="3"/>
  <c r="M111" i="2"/>
  <c r="E13" i="3"/>
  <c r="G111" i="2"/>
  <c r="D90" i="2"/>
  <c r="D82" i="2"/>
  <c r="N155" i="2"/>
  <c r="N159" i="2" s="1"/>
  <c r="F143" i="2"/>
  <c r="F139" i="2" s="1"/>
  <c r="D136" i="2"/>
  <c r="N66" i="2"/>
  <c r="D78" i="2"/>
  <c r="D21" i="2"/>
  <c r="D50" i="2" s="1"/>
  <c r="E111" i="2"/>
  <c r="P62" i="2"/>
  <c r="F12" i="3" s="1"/>
  <c r="F23" i="3" s="1"/>
  <c r="H159" i="2"/>
  <c r="G155" i="2"/>
  <c r="G159" i="2" s="1"/>
  <c r="R54" i="2"/>
  <c r="P58" i="2"/>
  <c r="H56" i="1" s="1"/>
  <c r="P143" i="2"/>
  <c r="R139" i="2"/>
  <c r="D71" i="2"/>
  <c r="M143" i="2"/>
  <c r="O139" i="2"/>
  <c r="M54" i="2"/>
  <c r="O53" i="2"/>
  <c r="O59" i="2" s="1"/>
  <c r="O63" i="2" s="1"/>
  <c r="G143" i="2"/>
  <c r="I139" i="2"/>
  <c r="J155" i="2"/>
  <c r="J143" i="2"/>
  <c r="L139" i="2"/>
  <c r="G58" i="2"/>
  <c r="E56" i="1" s="1"/>
  <c r="F58" i="2"/>
  <c r="I54" i="2"/>
  <c r="L54" i="2"/>
  <c r="J58" i="2"/>
  <c r="F56" i="1" s="1"/>
  <c r="E50" i="2"/>
  <c r="E59" i="2" s="1"/>
  <c r="E62" i="2" s="1"/>
  <c r="D122" i="1" l="1"/>
  <c r="D13" i="3"/>
  <c r="D11" i="3" s="1"/>
  <c r="E17" i="1"/>
  <c r="E48" i="1" s="1"/>
  <c r="F11" i="3"/>
  <c r="F99" i="1"/>
  <c r="D34" i="1"/>
  <c r="D30" i="1"/>
  <c r="H99" i="1"/>
  <c r="G129" i="1"/>
  <c r="E124" i="1"/>
  <c r="E130" i="1" s="1"/>
  <c r="E131" i="1" s="1"/>
  <c r="E132" i="1" s="1"/>
  <c r="D70" i="1"/>
  <c r="D62" i="1" s="1"/>
  <c r="D88" i="1" s="1"/>
  <c r="E62" i="1"/>
  <c r="E88" i="1" s="1"/>
  <c r="E96" i="1" s="1"/>
  <c r="P104" i="2"/>
  <c r="R100" i="2"/>
  <c r="O104" i="2"/>
  <c r="L104" i="2"/>
  <c r="I104" i="2"/>
  <c r="M53" i="2"/>
  <c r="M59" i="2" s="1"/>
  <c r="G52" i="1"/>
  <c r="G51" i="1" s="1"/>
  <c r="G57" i="1" s="1"/>
  <c r="G59" i="1" s="1"/>
  <c r="G60" i="1" s="1"/>
  <c r="D56" i="1"/>
  <c r="F24" i="3"/>
  <c r="E24" i="3"/>
  <c r="E22" i="3" s="1"/>
  <c r="E11" i="3"/>
  <c r="C11" i="3"/>
  <c r="C24" i="3"/>
  <c r="C22" i="3" s="1"/>
  <c r="P66" i="2"/>
  <c r="M155" i="2"/>
  <c r="M159" i="2" s="1"/>
  <c r="D143" i="2"/>
  <c r="D70" i="2"/>
  <c r="D96" i="2" s="1"/>
  <c r="F54" i="2"/>
  <c r="D58" i="2"/>
  <c r="O138" i="2"/>
  <c r="O144" i="2" s="1"/>
  <c r="M139" i="2"/>
  <c r="M138" i="2" s="1"/>
  <c r="M144" i="2" s="1"/>
  <c r="E155" i="2"/>
  <c r="E66" i="2"/>
  <c r="D62" i="2"/>
  <c r="D66" i="2" s="1"/>
  <c r="D139" i="2"/>
  <c r="F138" i="2"/>
  <c r="F144" i="2" s="1"/>
  <c r="F147" i="2" s="1"/>
  <c r="F151" i="2" s="1"/>
  <c r="P155" i="2"/>
  <c r="J139" i="2"/>
  <c r="J138" i="2" s="1"/>
  <c r="J144" i="2" s="1"/>
  <c r="L138" i="2"/>
  <c r="L144" i="2" s="1"/>
  <c r="O67" i="2"/>
  <c r="O68" i="2" s="1"/>
  <c r="M63" i="2"/>
  <c r="O64" i="2"/>
  <c r="P139" i="2"/>
  <c r="P138" i="2" s="1"/>
  <c r="P144" i="2" s="1"/>
  <c r="R138" i="2"/>
  <c r="R144" i="2" s="1"/>
  <c r="R147" i="2" s="1"/>
  <c r="R151" i="2" s="1"/>
  <c r="P54" i="2"/>
  <c r="R53" i="2"/>
  <c r="R59" i="2" s="1"/>
  <c r="R63" i="2" s="1"/>
  <c r="L53" i="2"/>
  <c r="L59" i="2" s="1"/>
  <c r="L63" i="2" s="1"/>
  <c r="J54" i="2"/>
  <c r="G54" i="2"/>
  <c r="I53" i="2"/>
  <c r="I59" i="2" s="1"/>
  <c r="I63" i="2" s="1"/>
  <c r="G139" i="2"/>
  <c r="G138" i="2" s="1"/>
  <c r="G144" i="2" s="1"/>
  <c r="I138" i="2"/>
  <c r="I144" i="2" s="1"/>
  <c r="I147" i="2" s="1"/>
  <c r="I151" i="2" s="1"/>
  <c r="L147" i="2" l="1"/>
  <c r="L151" i="2" s="1"/>
  <c r="J151" i="2" s="1"/>
  <c r="O147" i="2"/>
  <c r="O151" i="2" s="1"/>
  <c r="M151" i="2" s="1"/>
  <c r="R67" i="2"/>
  <c r="D24" i="3"/>
  <c r="D22" i="3" s="1"/>
  <c r="P151" i="2"/>
  <c r="D151" i="2"/>
  <c r="P67" i="2"/>
  <c r="D17" i="1"/>
  <c r="D48" i="1" s="1"/>
  <c r="L64" i="2"/>
  <c r="J64" i="2" s="1"/>
  <c r="L67" i="2"/>
  <c r="J67" i="2" s="1"/>
  <c r="G125" i="1"/>
  <c r="D129" i="1"/>
  <c r="E92" i="1"/>
  <c r="D96" i="1"/>
  <c r="P100" i="2"/>
  <c r="P99" i="2" s="1"/>
  <c r="P105" i="2" s="1"/>
  <c r="R99" i="2"/>
  <c r="R105" i="2" s="1"/>
  <c r="R108" i="2" s="1"/>
  <c r="R109" i="2" s="1"/>
  <c r="O100" i="2"/>
  <c r="M104" i="2"/>
  <c r="L100" i="2"/>
  <c r="J104" i="2"/>
  <c r="F104" i="2"/>
  <c r="D104" i="2" s="1"/>
  <c r="G104" i="2"/>
  <c r="I100" i="2"/>
  <c r="P53" i="2"/>
  <c r="P59" i="2" s="1"/>
  <c r="H52" i="1"/>
  <c r="H51" i="1" s="1"/>
  <c r="H57" i="1" s="1"/>
  <c r="H59" i="1" s="1"/>
  <c r="H60" i="1" s="1"/>
  <c r="J53" i="2"/>
  <c r="J59" i="2" s="1"/>
  <c r="F52" i="1"/>
  <c r="F51" i="1" s="1"/>
  <c r="F57" i="1" s="1"/>
  <c r="F59" i="1" s="1"/>
  <c r="F60" i="1" s="1"/>
  <c r="G53" i="2"/>
  <c r="G59" i="2" s="1"/>
  <c r="E52" i="1"/>
  <c r="F22" i="3"/>
  <c r="I67" i="2"/>
  <c r="I68" i="2" s="1"/>
  <c r="D138" i="2"/>
  <c r="D144" i="2" s="1"/>
  <c r="M147" i="2"/>
  <c r="D54" i="2"/>
  <c r="D53" i="2" s="1"/>
  <c r="D59" i="2" s="1"/>
  <c r="F53" i="2"/>
  <c r="F59" i="2" s="1"/>
  <c r="F63" i="2" s="1"/>
  <c r="J63" i="2"/>
  <c r="M64" i="2"/>
  <c r="E16" i="3" s="1"/>
  <c r="M67" i="2"/>
  <c r="M68" i="2" s="1"/>
  <c r="I148" i="2"/>
  <c r="I152" i="2" s="1"/>
  <c r="G147" i="2"/>
  <c r="R148" i="2"/>
  <c r="R152" i="2" s="1"/>
  <c r="E159" i="2"/>
  <c r="D155" i="2"/>
  <c r="D159" i="2" s="1"/>
  <c r="I64" i="2"/>
  <c r="G63" i="2"/>
  <c r="P63" i="2"/>
  <c r="R64" i="2"/>
  <c r="L148" i="2"/>
  <c r="L152" i="2" s="1"/>
  <c r="J147" i="2"/>
  <c r="P109" i="2" l="1"/>
  <c r="R113" i="2"/>
  <c r="P113" i="2" s="1"/>
  <c r="R156" i="2"/>
  <c r="R160" i="2" s="1"/>
  <c r="R112" i="2"/>
  <c r="P112" i="2" s="1"/>
  <c r="D147" i="2"/>
  <c r="D148" i="2" s="1"/>
  <c r="D152" i="2" s="1"/>
  <c r="F148" i="2"/>
  <c r="F152" i="2" s="1"/>
  <c r="H134" i="1"/>
  <c r="H135" i="1" s="1"/>
  <c r="F134" i="1"/>
  <c r="F135" i="1" s="1"/>
  <c r="R68" i="2"/>
  <c r="L68" i="2"/>
  <c r="P147" i="2"/>
  <c r="P148" i="2" s="1"/>
  <c r="G124" i="1"/>
  <c r="G130" i="1" s="1"/>
  <c r="G131" i="1" s="1"/>
  <c r="G132" i="1" s="1"/>
  <c r="D125" i="1"/>
  <c r="D124" i="1" s="1"/>
  <c r="D130" i="1" s="1"/>
  <c r="D131" i="1" s="1"/>
  <c r="D132" i="1" s="1"/>
  <c r="E91" i="1"/>
  <c r="E97" i="1" s="1"/>
  <c r="E98" i="1" s="1"/>
  <c r="E99" i="1" s="1"/>
  <c r="D92" i="1"/>
  <c r="D91" i="1" s="1"/>
  <c r="D97" i="1" s="1"/>
  <c r="D98" i="1" s="1"/>
  <c r="D99" i="1" s="1"/>
  <c r="M100" i="2"/>
  <c r="M99" i="2" s="1"/>
  <c r="M105" i="2" s="1"/>
  <c r="O99" i="2"/>
  <c r="O105" i="2" s="1"/>
  <c r="J100" i="2"/>
  <c r="J99" i="2" s="1"/>
  <c r="J105" i="2" s="1"/>
  <c r="L99" i="2"/>
  <c r="L105" i="2" s="1"/>
  <c r="L108" i="2" s="1"/>
  <c r="G100" i="2"/>
  <c r="G99" i="2" s="1"/>
  <c r="G105" i="2" s="1"/>
  <c r="I99" i="2"/>
  <c r="I105" i="2" s="1"/>
  <c r="I108" i="2" s="1"/>
  <c r="F100" i="2"/>
  <c r="F99" i="2" s="1"/>
  <c r="F105" i="2" s="1"/>
  <c r="E51" i="1"/>
  <c r="E57" i="1" s="1"/>
  <c r="E59" i="1" s="1"/>
  <c r="D52" i="1"/>
  <c r="D51" i="1" s="1"/>
  <c r="D57" i="1" s="1"/>
  <c r="D59" i="1" s="1"/>
  <c r="E27" i="3"/>
  <c r="J68" i="2"/>
  <c r="D16" i="3"/>
  <c r="F67" i="2"/>
  <c r="F68" i="2" s="1"/>
  <c r="O148" i="2"/>
  <c r="O152" i="2" s="1"/>
  <c r="P68" i="2"/>
  <c r="P64" i="2"/>
  <c r="F16" i="3" s="1"/>
  <c r="D63" i="2"/>
  <c r="F64" i="2"/>
  <c r="M148" i="2"/>
  <c r="G64" i="2"/>
  <c r="C16" i="3" s="1"/>
  <c r="G67" i="2"/>
  <c r="G68" i="2" s="1"/>
  <c r="J148" i="2"/>
  <c r="G151" i="2"/>
  <c r="G148" i="2"/>
  <c r="P108" i="2" l="1"/>
  <c r="L156" i="2"/>
  <c r="L160" i="2" s="1"/>
  <c r="J160" i="2" s="1"/>
  <c r="I112" i="2"/>
  <c r="G112" i="2" s="1"/>
  <c r="F108" i="2"/>
  <c r="D27" i="3"/>
  <c r="G134" i="1"/>
  <c r="G135" i="1" s="1"/>
  <c r="O108" i="2"/>
  <c r="L112" i="2"/>
  <c r="J108" i="2"/>
  <c r="G108" i="2"/>
  <c r="I109" i="2"/>
  <c r="I113" i="2" s="1"/>
  <c r="I156" i="2"/>
  <c r="D100" i="2"/>
  <c r="D99" i="2" s="1"/>
  <c r="D105" i="2" s="1"/>
  <c r="D60" i="1"/>
  <c r="D134" i="1"/>
  <c r="D135" i="1" s="1"/>
  <c r="E60" i="1"/>
  <c r="E134" i="1"/>
  <c r="E135" i="1" s="1"/>
  <c r="F27" i="3"/>
  <c r="P152" i="2"/>
  <c r="F18" i="3"/>
  <c r="F29" i="3" s="1"/>
  <c r="M152" i="2"/>
  <c r="E18" i="3"/>
  <c r="J152" i="2"/>
  <c r="D18" i="3"/>
  <c r="D29" i="3" s="1"/>
  <c r="C27" i="3"/>
  <c r="G152" i="2"/>
  <c r="C18" i="3"/>
  <c r="C29" i="3" s="1"/>
  <c r="D67" i="2"/>
  <c r="D68" i="2" s="1"/>
  <c r="D64" i="2"/>
  <c r="F112" i="2" l="1"/>
  <c r="F156" i="2"/>
  <c r="O112" i="2"/>
  <c r="M112" i="2" s="1"/>
  <c r="O156" i="2"/>
  <c r="O160" i="2" s="1"/>
  <c r="M160" i="2" s="1"/>
  <c r="P160" i="2"/>
  <c r="R157" i="2"/>
  <c r="R161" i="2" s="1"/>
  <c r="P156" i="2"/>
  <c r="P157" i="2" s="1"/>
  <c r="P161" i="2" s="1"/>
  <c r="L109" i="2"/>
  <c r="L113" i="2" s="1"/>
  <c r="D112" i="2"/>
  <c r="F160" i="2"/>
  <c r="D160" i="2" s="1"/>
  <c r="F109" i="2"/>
  <c r="F113" i="2" s="1"/>
  <c r="D108" i="2"/>
  <c r="D109" i="2" s="1"/>
  <c r="D113" i="2" s="1"/>
  <c r="F17" i="3"/>
  <c r="M108" i="2"/>
  <c r="O109" i="2"/>
  <c r="O113" i="2" s="1"/>
  <c r="J112" i="2"/>
  <c r="J109" i="2"/>
  <c r="J156" i="2"/>
  <c r="L157" i="2"/>
  <c r="L161" i="2" s="1"/>
  <c r="I160" i="2"/>
  <c r="I157" i="2"/>
  <c r="I161" i="2" s="1"/>
  <c r="G156" i="2"/>
  <c r="G109" i="2"/>
  <c r="E29" i="3"/>
  <c r="F28" i="3" l="1"/>
  <c r="F26" i="3" s="1"/>
  <c r="F15" i="3"/>
  <c r="D156" i="2"/>
  <c r="F157" i="2"/>
  <c r="F161" i="2" s="1"/>
  <c r="O157" i="2"/>
  <c r="O161" i="2" s="1"/>
  <c r="M156" i="2"/>
  <c r="M109" i="2"/>
  <c r="J113" i="2"/>
  <c r="D17" i="3"/>
  <c r="D15" i="3" s="1"/>
  <c r="J157" i="2"/>
  <c r="J161" i="2" s="1"/>
  <c r="C17" i="3"/>
  <c r="G113" i="2"/>
  <c r="G160" i="2"/>
  <c r="G157" i="2"/>
  <c r="G161" i="2" s="1"/>
  <c r="D157" i="2" l="1"/>
  <c r="D161" i="2" s="1"/>
  <c r="E17" i="3"/>
  <c r="M113" i="2"/>
  <c r="M157" i="2"/>
  <c r="M161" i="2" s="1"/>
  <c r="D28" i="3"/>
  <c r="D26" i="3" s="1"/>
  <c r="C28" i="3"/>
  <c r="C26" i="3" s="1"/>
  <c r="C15" i="3"/>
  <c r="E28" i="3" l="1"/>
  <c r="E26" i="3" s="1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59" authorId="0" shapeId="0" xr:uid="{65F08BD1-99F8-4602-9306-6E8CB7F04DD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ПІДІГНАЛА!
</t>
        </r>
      </text>
    </comment>
  </commentList>
</comments>
</file>

<file path=xl/sharedStrings.xml><?xml version="1.0" encoding="utf-8"?>
<sst xmlns="http://schemas.openxmlformats.org/spreadsheetml/2006/main" count="1163" uniqueCount="183">
  <si>
    <t>Комунального підприємства "Білгород-Дністровськтеплоенерго"</t>
  </si>
  <si>
    <t>№ з/п</t>
  </si>
  <si>
    <t>Найменування показника </t>
  </si>
  <si>
    <t>Одиниця виміру </t>
  </si>
  <si>
    <t>Сумарні та середньозважені показники </t>
  </si>
  <si>
    <t>Для потреб</t>
  </si>
  <si>
    <t>населення </t>
  </si>
  <si>
    <t>релігійних організацій</t>
  </si>
  <si>
    <t>бюджетних установ</t>
  </si>
  <si>
    <t>інших споживачів </t>
  </si>
  <si>
    <t>усього </t>
  </si>
  <si>
    <t>1.</t>
  </si>
  <si>
    <t>Обсяг реалізації теплової енергії споживачам всього, у т.ч.</t>
  </si>
  <si>
    <t>тис. Гкал</t>
  </si>
  <si>
    <t>2.</t>
  </si>
  <si>
    <t xml:space="preserve">Приєднане теплове навантаження  </t>
  </si>
  <si>
    <t>Гкал/год</t>
  </si>
  <si>
    <t>3.</t>
  </si>
  <si>
    <t>Обсяг теплової енергії для надання послуги з постачання теплової енергії, усього</t>
  </si>
  <si>
    <t>тис. Гкал </t>
  </si>
  <si>
    <t>3.1</t>
  </si>
  <si>
    <t>у тому числі</t>
  </si>
  <si>
    <t>за показаннями вузлів комерційного обліку  </t>
  </si>
  <si>
    <t>- " - </t>
  </si>
  <si>
    <t>4</t>
  </si>
  <si>
    <t>Виробництво теплової енергії</t>
  </si>
  <si>
    <t>Виробнича собівартість, зокрема:</t>
  </si>
  <si>
    <t>тис. грн</t>
  </si>
  <si>
    <t>1.1</t>
  </si>
  <si>
    <t>прямі матеріальні витрати, зокрема:</t>
  </si>
  <si>
    <t>1.1.1</t>
  </si>
  <si>
    <t>паливо всього, у т.ч.:</t>
  </si>
  <si>
    <t>1.1.1.1</t>
  </si>
  <si>
    <t>природний газ</t>
  </si>
  <si>
    <t>1.1.1.2</t>
  </si>
  <si>
    <t>транспортування природного газу</t>
  </si>
  <si>
    <t>1.1.1.3</t>
  </si>
  <si>
    <t>розподіл природного газу</t>
  </si>
  <si>
    <t>1.1.2</t>
  </si>
  <si>
    <t>електроенергія</t>
  </si>
  <si>
    <t>1.1.3</t>
  </si>
  <si>
    <t>покупна теплова енергія та/або встановлена повна планована собівартість теплової енергії, виробленої  власними ТЕЦ, ТЕС, АЕС, КГУ та/або встановлена повна планована вартість теплової енергії, виробленої власними установками, що використовують НПДЕ</t>
  </si>
  <si>
    <t>1.1.3.1</t>
  </si>
  <si>
    <t>покупна теплова енергія</t>
  </si>
  <si>
    <t>1.1.3.2</t>
  </si>
  <si>
    <t>встановлена повна планована вартість теплової енергії, виробленої власними установками, що використовують НПДЕ</t>
  </si>
  <si>
    <t>1.1.4</t>
  </si>
  <si>
    <t>холодна вода для технологічних потреб та водовідведення</t>
  </si>
  <si>
    <t>1.1.5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</si>
  <si>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</si>
  <si>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</si>
  <si>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</si>
  <si>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</si>
  <si>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зокрема:</t>
  </si>
  <si>
    <t>1.3.1</t>
  </si>
  <si>
    <t>єдиний внесок на загальнообов’язкове державне соціальне страхування працівників</t>
  </si>
  <si>
    <t>1.3.2</t>
  </si>
  <si>
    <t xml:space="preserve"> амортизація</t>
  </si>
  <si>
    <t>1.3.3</t>
  </si>
  <si>
    <t xml:space="preserve"> інші прямі витрати</t>
  </si>
  <si>
    <t>1.4</t>
  </si>
  <si>
    <t>загальновиробничі витрати, зокрема:</t>
  </si>
  <si>
    <t>1.4.1</t>
  </si>
  <si>
    <t>витрати на оплату праці</t>
  </si>
  <si>
    <t>1.4.2</t>
  </si>
  <si>
    <t>1.4.3</t>
  </si>
  <si>
    <t>інші витрати</t>
  </si>
  <si>
    <t>Адміністративні витрати, зокрема:</t>
  </si>
  <si>
    <t>2.1</t>
  </si>
  <si>
    <t>2.2</t>
  </si>
  <si>
    <t>2.3</t>
  </si>
  <si>
    <t>3</t>
  </si>
  <si>
    <t>Витрати на збут, зокрема:</t>
  </si>
  <si>
    <t>3.2</t>
  </si>
  <si>
    <t>3.3</t>
  </si>
  <si>
    <t>Інші операційні витрати**</t>
  </si>
  <si>
    <t>5</t>
  </si>
  <si>
    <t>Фінансові витрати</t>
  </si>
  <si>
    <t>6</t>
  </si>
  <si>
    <t>Повна собівартість**</t>
  </si>
  <si>
    <t>7</t>
  </si>
  <si>
    <t>Витрати на відшкодування втрат</t>
  </si>
  <si>
    <t>8</t>
  </si>
  <si>
    <t>Розрахунковий прибуток, усього**, зокрема:</t>
  </si>
  <si>
    <t>8.1</t>
  </si>
  <si>
    <t>податок на прибуток</t>
  </si>
  <si>
    <t>8.2</t>
  </si>
  <si>
    <t xml:space="preserve"> дивіденди</t>
  </si>
  <si>
    <t>8.3</t>
  </si>
  <si>
    <t xml:space="preserve"> резервний фонд (капітал)</t>
  </si>
  <si>
    <t>8.4</t>
  </si>
  <si>
    <t>на розвиток виробництва (виробничі інвестиції)</t>
  </si>
  <si>
    <t>8.5</t>
  </si>
  <si>
    <t>інше використання  прибутку</t>
  </si>
  <si>
    <t>9</t>
  </si>
  <si>
    <t>Вартість виробництва теплової енергії за відповідними тарифами</t>
  </si>
  <si>
    <t>10</t>
  </si>
  <si>
    <t>Одноставковий тариф на виробництво теплової енергії без ПДВ</t>
  </si>
  <si>
    <t>грн/Гкал</t>
  </si>
  <si>
    <t>11</t>
  </si>
  <si>
    <t>Одноставковий тариф на виробництво теплової енергії з ПДВ</t>
  </si>
  <si>
    <t xml:space="preserve">Транспортування теплової енергії </t>
  </si>
  <si>
    <t>транспортування теплової енергії іншими субєктами господарювання</t>
  </si>
  <si>
    <t>холодна вода для технологічних потреб  та водовідведення</t>
  </si>
  <si>
    <t>1.1.4.1</t>
  </si>
  <si>
    <t>у т.ч. витрати на покриття втрат теплової енергії в телових мережах</t>
  </si>
  <si>
    <t>амортизація</t>
  </si>
  <si>
    <t>інші прямі витрати</t>
  </si>
  <si>
    <t>інші витрати*</t>
  </si>
  <si>
    <t xml:space="preserve">Інші операційні витрати * </t>
  </si>
  <si>
    <t>Повна собівартість*</t>
  </si>
  <si>
    <t xml:space="preserve">Витрати на відшкодування втрат </t>
  </si>
  <si>
    <t>Розрахунковий прибуток*, усього,  зокрема:</t>
  </si>
  <si>
    <t>дивіденди</t>
  </si>
  <si>
    <t>резервний фонд (капітал)</t>
  </si>
  <si>
    <t>Вартість транспортування теплової енергії за відповідними тарифами</t>
  </si>
  <si>
    <t>Одноставковий тариф на транспортування теплової енергії без ПДВ</t>
  </si>
  <si>
    <t>Одноставковий тариф на транспортування теплової енергії з ПДВ</t>
  </si>
  <si>
    <t>Постачання теплової енергії</t>
  </si>
  <si>
    <t>прямі матеріальні витрати</t>
  </si>
  <si>
    <t xml:space="preserve">Інші  операційні витрати*  </t>
  </si>
  <si>
    <t>Розрахунковий прибуток, усього, зокрема:</t>
  </si>
  <si>
    <t>Вартість постачання теплової енергії за відповідними тарифами</t>
  </si>
  <si>
    <t>Одноставковий тариф на постачання теплової енергії без ПДВ</t>
  </si>
  <si>
    <t>Одноставковий тариф на постачання теплової енергії з ПДВ</t>
  </si>
  <si>
    <t>Структура двоставкових тарифів на теплову енергії, її виробництво, транспортування та постачання для категорії споживачів: населення, релігійним організаціям, бюджетним установам та іншим споживачам                                   на 2021-2022 рокм</t>
  </si>
  <si>
    <t>у тому числі </t>
  </si>
  <si>
    <t>умовно-змінна частина</t>
  </si>
  <si>
    <t>умовно- постійна частина </t>
  </si>
  <si>
    <t>х</t>
  </si>
  <si>
    <t>х </t>
  </si>
  <si>
    <t>12</t>
  </si>
  <si>
    <t>Двоставковий тариф на виробництво теплової енергії без ПДВ</t>
  </si>
  <si>
    <t>  </t>
  </si>
  <si>
    <t>12.1</t>
  </si>
  <si>
    <t>умовно-змінна частина  </t>
  </si>
  <si>
    <t>грн/Гкал </t>
  </si>
  <si>
    <t>12.2</t>
  </si>
  <si>
    <t>грн/ Гкал/год</t>
  </si>
  <si>
    <t>12.3</t>
  </si>
  <si>
    <t>13</t>
  </si>
  <si>
    <t>Двоставковий тариф на виробництво теплової енергії з ПДВ</t>
  </si>
  <si>
    <t>13.1</t>
  </si>
  <si>
    <t>13.2</t>
  </si>
  <si>
    <t>умовно-постійна частина (річна абонентська плата) </t>
  </si>
  <si>
    <t>13.3.</t>
  </si>
  <si>
    <t>умовно-постійна частина (місячна абонентська плата) </t>
  </si>
  <si>
    <t>Двоставковий тариф на транспортування теплової енергії без ПДВ</t>
  </si>
  <si>
    <t>Двоставковий тариф на транспортування теплової енергії з ПДВ</t>
  </si>
  <si>
    <t>13.3</t>
  </si>
  <si>
    <t>Двоставковий тариф на постачання теплової енергії без ПДВ</t>
  </si>
  <si>
    <t>Двоставковий тариф на постачання теплової енергії з ПДВ</t>
  </si>
  <si>
    <t>Двоставковий тариф на послугу з постачання теплової енергії без ПДВ</t>
  </si>
  <si>
    <t>виробництво телової енергії</t>
  </si>
  <si>
    <t>транспортування теплової енергії</t>
  </si>
  <si>
    <t>постачаня теплової енергії</t>
  </si>
  <si>
    <t>Двоставковий тариф на послугу з постачання теплової енергії з ПДВ</t>
  </si>
  <si>
    <t>грн/м2</t>
  </si>
  <si>
    <t>Одиниці виміру</t>
  </si>
  <si>
    <t>Обсяг відпуску теплової енергії з колекторів власних генеруючих джерел всього (БЕЗ ГП)</t>
  </si>
  <si>
    <t>Послуга з постачання теплової енергії</t>
  </si>
  <si>
    <t>Послуги з постачання теплової енергії</t>
  </si>
  <si>
    <t>Одноставковий тариф на послугу з постачання теплової енергії без ПДВ</t>
  </si>
  <si>
    <t>Одноставковий тариф на послугу з постачання теплової енергії з ПДВ</t>
  </si>
  <si>
    <t>умовно-постійна частина (місячна абонентська плата)  для багатоповерхових будинків</t>
  </si>
  <si>
    <t>умовно-постійна частина (місячна абонентська плата)  для одноповерхових будинків та привітного сектору</t>
  </si>
  <si>
    <t>умовно-постійна частина (місячна абонентська плата)  для одноповерхових будинків та приватного сектору</t>
  </si>
  <si>
    <t>на період з 01.10.2026 року по 30.09.2027 року</t>
  </si>
  <si>
    <t>Структура тарифів на теплову енергії, її виробництво, транспортування та постачання для категорії споживачів: населення, релігійним організаціям, бюджетним установам та іншим споживачам                                   на період з 01.10.2026 року по 30.09.2027 року</t>
  </si>
  <si>
    <t>Двостовкові тариф на послуги з постачання теплової енергії для категорії споживачів: населення, релігійним організаціям, бюджетним установам та іншим споживачам                                 на період з 01.10.2026 року по 30.09.2027 року</t>
  </si>
  <si>
    <t>Додаток 1</t>
  </si>
  <si>
    <t xml:space="preserve">до рішення виконавчого комітету </t>
  </si>
  <si>
    <t xml:space="preserve">Білгород-Дністроської міської ради </t>
  </si>
  <si>
    <t>Додаток 2</t>
  </si>
  <si>
    <t>від ________________________2026 р. № ____</t>
  </si>
  <si>
    <t>Додаток 3</t>
  </si>
  <si>
    <t>Михайло ВОЛКАНОВ</t>
  </si>
  <si>
    <t>(керівник)</t>
  </si>
  <si>
    <t xml:space="preserve"> (підпис)</t>
  </si>
  <si>
    <t>(ініціали, прізвище)</t>
  </si>
  <si>
    <t>Головний економіст</t>
  </si>
  <si>
    <t>Анастасія ОКУНЄВА</t>
  </si>
  <si>
    <t>(посада)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</si>
</sst>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i/>
      <sz val="10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</font>
    <font>
      <sz val="10"/>
      <color rgb="FFFF0000"/>
      <name val="Times New Roman"/>
      <family val="1"/>
      <charset val="204"/>
    </font>
    <font>
      <b/>
      <sz val="13.5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u/>
      <sz val="13.5"/>
      <name val="Times New Roman"/>
      <family val="1"/>
      <charset val="204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378">
    <xf numFmtId="0" fontId="0" fillId="0" borderId="0" xfId="0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vertical="center" wrapText="1"/>
    </xf>
    <xf numFmtId="0" fontId="6" fillId="0" borderId="21" xfId="2" applyFont="1" applyBorder="1" applyAlignment="1">
      <alignment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5" fontId="5" fillId="0" borderId="26" xfId="1" applyNumberFormat="1" applyFont="1" applyBorder="1" applyAlignment="1">
      <alignment horizontal="center" vertical="center" wrapText="1"/>
    </xf>
    <xf numFmtId="164" fontId="5" fillId="0" borderId="26" xfId="1" applyNumberFormat="1" applyFont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 indent="1"/>
    </xf>
    <xf numFmtId="0" fontId="4" fillId="3" borderId="20" xfId="1" applyFont="1" applyFill="1" applyBorder="1" applyAlignment="1">
      <alignment horizontal="center" vertical="center" wrapText="1"/>
    </xf>
    <xf numFmtId="0" fontId="4" fillId="4" borderId="27" xfId="1" applyFont="1" applyFill="1" applyBorder="1" applyAlignment="1">
      <alignment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2" fontId="5" fillId="0" borderId="48" xfId="1" applyNumberFormat="1" applyFont="1" applyBorder="1" applyAlignment="1">
      <alignment horizontal="center" vertical="center" wrapText="1"/>
    </xf>
    <xf numFmtId="2" fontId="5" fillId="0" borderId="25" xfId="1" applyNumberFormat="1" applyFont="1" applyBorder="1" applyAlignment="1">
      <alignment horizontal="center" vertical="center" wrapText="1"/>
    </xf>
    <xf numFmtId="165" fontId="5" fillId="0" borderId="48" xfId="1" applyNumberFormat="1" applyFont="1" applyBorder="1" applyAlignment="1">
      <alignment horizontal="center" vertical="center" wrapText="1"/>
    </xf>
    <xf numFmtId="0" fontId="4" fillId="4" borderId="30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vertical="center" wrapText="1"/>
    </xf>
    <xf numFmtId="0" fontId="2" fillId="4" borderId="15" xfId="1" applyFont="1" applyFill="1" applyBorder="1" applyAlignment="1">
      <alignment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34" xfId="1" applyFont="1" applyFill="1" applyBorder="1" applyAlignment="1">
      <alignment horizontal="center" vertical="center" wrapText="1"/>
    </xf>
    <xf numFmtId="0" fontId="2" fillId="4" borderId="34" xfId="1" applyFont="1" applyFill="1" applyBorder="1" applyAlignment="1">
      <alignment vertical="center" wrapText="1"/>
    </xf>
    <xf numFmtId="0" fontId="2" fillId="4" borderId="14" xfId="1" applyFont="1" applyFill="1" applyBorder="1" applyAlignment="1">
      <alignment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49" fontId="10" fillId="3" borderId="7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0" xfId="0" applyFont="1"/>
    <xf numFmtId="164" fontId="4" fillId="0" borderId="7" xfId="1" applyNumberFormat="1" applyFont="1" applyBorder="1" applyAlignment="1">
      <alignment horizontal="center" vertical="center" wrapText="1"/>
    </xf>
    <xf numFmtId="0" fontId="11" fillId="0" borderId="38" xfId="2" applyFont="1" applyBorder="1" applyAlignment="1">
      <alignment vertical="center" wrapText="1"/>
    </xf>
    <xf numFmtId="0" fontId="6" fillId="0" borderId="40" xfId="2" applyFont="1" applyBorder="1" applyAlignment="1">
      <alignment vertical="center" wrapText="1"/>
    </xf>
    <xf numFmtId="0" fontId="11" fillId="0" borderId="40" xfId="2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0" xfId="0" applyFont="1"/>
    <xf numFmtId="0" fontId="11" fillId="0" borderId="30" xfId="2" applyFont="1" applyBorder="1" applyAlignment="1">
      <alignment vertical="center" wrapText="1"/>
    </xf>
    <xf numFmtId="0" fontId="4" fillId="4" borderId="28" xfId="1" applyFont="1" applyFill="1" applyBorder="1" applyAlignment="1">
      <alignment vertical="center" wrapText="1"/>
    </xf>
    <xf numFmtId="2" fontId="2" fillId="0" borderId="7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13" xfId="2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0" borderId="7" xfId="2" applyFont="1" applyBorder="1" applyAlignment="1">
      <alignment vertical="center" wrapText="1"/>
    </xf>
    <xf numFmtId="0" fontId="11" fillId="0" borderId="7" xfId="2" applyFont="1" applyBorder="1" applyAlignment="1">
      <alignment vertical="center" wrapText="1"/>
    </xf>
    <xf numFmtId="0" fontId="11" fillId="0" borderId="22" xfId="0" applyFont="1" applyBorder="1"/>
    <xf numFmtId="49" fontId="10" fillId="0" borderId="23" xfId="1" applyNumberFormat="1" applyFont="1" applyBorder="1" applyAlignment="1">
      <alignment horizontal="center" vertical="center"/>
    </xf>
    <xf numFmtId="0" fontId="11" fillId="0" borderId="15" xfId="2" applyFont="1" applyBorder="1" applyAlignment="1">
      <alignment vertical="center" wrapText="1"/>
    </xf>
    <xf numFmtId="49" fontId="10" fillId="0" borderId="22" xfId="1" applyNumberFormat="1" applyFont="1" applyBorder="1" applyAlignment="1">
      <alignment horizontal="center" vertical="center"/>
    </xf>
    <xf numFmtId="0" fontId="11" fillId="0" borderId="24" xfId="2" applyFont="1" applyBorder="1" applyAlignment="1">
      <alignment vertical="center" wrapText="1"/>
    </xf>
    <xf numFmtId="49" fontId="10" fillId="0" borderId="7" xfId="1" applyNumberFormat="1" applyFont="1" applyBorder="1" applyAlignment="1">
      <alignment horizontal="center" vertical="center"/>
    </xf>
    <xf numFmtId="0" fontId="6" fillId="0" borderId="26" xfId="2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22" xfId="0" applyFont="1" applyBorder="1"/>
    <xf numFmtId="49" fontId="10" fillId="0" borderId="21" xfId="1" applyNumberFormat="1" applyFont="1" applyBorder="1" applyAlignment="1">
      <alignment horizontal="center" vertical="center"/>
    </xf>
    <xf numFmtId="0" fontId="11" fillId="0" borderId="21" xfId="2" applyFont="1" applyBorder="1" applyAlignment="1">
      <alignment vertical="center" wrapText="1"/>
    </xf>
    <xf numFmtId="0" fontId="17" fillId="0" borderId="0" xfId="0" applyFont="1"/>
    <xf numFmtId="0" fontId="16" fillId="0" borderId="0" xfId="1" applyFont="1"/>
    <xf numFmtId="2" fontId="16" fillId="0" borderId="0" xfId="1" applyNumberFormat="1" applyFont="1"/>
    <xf numFmtId="49" fontId="18" fillId="0" borderId="0" xfId="1" applyNumberFormat="1" applyFont="1" applyAlignment="1">
      <alignment horizontal="center" vertical="center"/>
    </xf>
    <xf numFmtId="0" fontId="19" fillId="0" borderId="0" xfId="0" applyFont="1"/>
    <xf numFmtId="49" fontId="2" fillId="0" borderId="6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3" borderId="17" xfId="1" applyNumberFormat="1" applyFont="1" applyFill="1" applyBorder="1" applyAlignment="1">
      <alignment horizontal="center" vertical="center"/>
    </xf>
    <xf numFmtId="49" fontId="10" fillId="4" borderId="29" xfId="1" applyNumberFormat="1" applyFont="1" applyFill="1" applyBorder="1" applyAlignment="1">
      <alignment horizontal="center" vertical="center"/>
    </xf>
    <xf numFmtId="49" fontId="10" fillId="5" borderId="27" xfId="1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vertical="center" wrapText="1"/>
    </xf>
    <xf numFmtId="0" fontId="2" fillId="5" borderId="3" xfId="1" applyFont="1" applyFill="1" applyBorder="1" applyAlignment="1">
      <alignment horizontal="center" vertical="center" wrapText="1"/>
    </xf>
    <xf numFmtId="49" fontId="10" fillId="5" borderId="34" xfId="1" applyNumberFormat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horizontal="center" vertical="center" wrapText="1"/>
    </xf>
    <xf numFmtId="49" fontId="10" fillId="5" borderId="14" xfId="1" applyNumberFormat="1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vertical="center" wrapText="1"/>
    </xf>
    <xf numFmtId="0" fontId="2" fillId="5" borderId="16" xfId="1" applyFont="1" applyFill="1" applyBorder="1" applyAlignment="1">
      <alignment horizontal="center" vertical="center" wrapText="1"/>
    </xf>
    <xf numFmtId="49" fontId="10" fillId="6" borderId="4" xfId="1" applyNumberFormat="1" applyFont="1" applyFill="1" applyBorder="1" applyAlignment="1">
      <alignment horizontal="center" vertical="center"/>
    </xf>
    <xf numFmtId="49" fontId="10" fillId="4" borderId="27" xfId="1" applyNumberFormat="1" applyFont="1" applyFill="1" applyBorder="1" applyAlignment="1">
      <alignment horizontal="center" vertical="center"/>
    </xf>
    <xf numFmtId="49" fontId="10" fillId="4" borderId="34" xfId="1" applyNumberFormat="1" applyFont="1" applyFill="1" applyBorder="1" applyAlignment="1">
      <alignment horizontal="center" vertical="center"/>
    </xf>
    <xf numFmtId="49" fontId="10" fillId="4" borderId="14" xfId="1" applyNumberFormat="1" applyFont="1" applyFill="1" applyBorder="1" applyAlignment="1">
      <alignment horizontal="center" vertical="center"/>
    </xf>
    <xf numFmtId="49" fontId="10" fillId="5" borderId="50" xfId="1" applyNumberFormat="1" applyFont="1" applyFill="1" applyBorder="1" applyAlignment="1">
      <alignment horizontal="center" vertical="center"/>
    </xf>
    <xf numFmtId="0" fontId="4" fillId="5" borderId="50" xfId="1" applyFont="1" applyFill="1" applyBorder="1" applyAlignment="1">
      <alignment vertical="center" wrapText="1"/>
    </xf>
    <xf numFmtId="0" fontId="2" fillId="5" borderId="50" xfId="1" applyFont="1" applyFill="1" applyBorder="1" applyAlignment="1">
      <alignment horizontal="center" vertical="center" wrapText="1"/>
    </xf>
    <xf numFmtId="0" fontId="2" fillId="5" borderId="34" xfId="1" applyFont="1" applyFill="1" applyBorder="1" applyAlignment="1">
      <alignment vertical="center" wrapText="1"/>
    </xf>
    <xf numFmtId="0" fontId="2" fillId="5" borderId="34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vertical="center" wrapText="1"/>
    </xf>
    <xf numFmtId="0" fontId="2" fillId="5" borderId="14" xfId="1" applyFont="1" applyFill="1" applyBorder="1" applyAlignment="1">
      <alignment horizontal="center" vertical="center" wrapText="1"/>
    </xf>
    <xf numFmtId="49" fontId="10" fillId="3" borderId="35" xfId="1" applyNumberFormat="1" applyFont="1" applyFill="1" applyBorder="1" applyAlignment="1">
      <alignment horizontal="center" vertical="center"/>
    </xf>
    <xf numFmtId="49" fontId="10" fillId="3" borderId="37" xfId="1" applyNumberFormat="1" applyFont="1" applyFill="1" applyBorder="1" applyAlignment="1">
      <alignment horizontal="center" vertical="center"/>
    </xf>
    <xf numFmtId="49" fontId="10" fillId="3" borderId="29" xfId="1" applyNumberFormat="1" applyFont="1" applyFill="1" applyBorder="1" applyAlignment="1">
      <alignment horizontal="center" vertical="center"/>
    </xf>
    <xf numFmtId="49" fontId="10" fillId="4" borderId="37" xfId="1" applyNumberFormat="1" applyFont="1" applyFill="1" applyBorder="1" applyAlignment="1">
      <alignment horizontal="center" vertical="center"/>
    </xf>
    <xf numFmtId="49" fontId="15" fillId="4" borderId="29" xfId="1" applyNumberFormat="1" applyFont="1" applyFill="1" applyBorder="1" applyAlignment="1">
      <alignment horizontal="center" vertical="center"/>
    </xf>
    <xf numFmtId="49" fontId="15" fillId="4" borderId="14" xfId="1" applyNumberFormat="1" applyFont="1" applyFill="1" applyBorder="1" applyAlignment="1">
      <alignment horizontal="center" vertical="center"/>
    </xf>
    <xf numFmtId="0" fontId="4" fillId="5" borderId="27" xfId="1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49" fontId="15" fillId="4" borderId="2" xfId="1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vertical="center" wrapText="1"/>
    </xf>
    <xf numFmtId="0" fontId="2" fillId="4" borderId="56" xfId="1" applyFont="1" applyFill="1" applyBorder="1" applyAlignment="1">
      <alignment horizontal="center" vertical="center" wrapText="1"/>
    </xf>
    <xf numFmtId="49" fontId="15" fillId="4" borderId="7" xfId="1" applyNumberFormat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vertical="center" wrapText="1"/>
    </xf>
    <xf numFmtId="0" fontId="2" fillId="4" borderId="52" xfId="1" applyFont="1" applyFill="1" applyBorder="1" applyAlignment="1">
      <alignment horizontal="center" vertical="center" wrapText="1"/>
    </xf>
    <xf numFmtId="49" fontId="10" fillId="5" borderId="7" xfId="1" applyNumberFormat="1" applyFont="1" applyFill="1" applyBorder="1" applyAlignment="1">
      <alignment horizontal="center" vertical="center"/>
    </xf>
    <xf numFmtId="0" fontId="2" fillId="5" borderId="52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vertical="center" wrapText="1"/>
    </xf>
    <xf numFmtId="49" fontId="10" fillId="5" borderId="15" xfId="1" applyNumberFormat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vertical="center" wrapText="1"/>
    </xf>
    <xf numFmtId="0" fontId="2" fillId="5" borderId="57" xfId="1" applyFont="1" applyFill="1" applyBorder="1" applyAlignment="1">
      <alignment horizontal="center" vertical="center" wrapText="1"/>
    </xf>
    <xf numFmtId="164" fontId="4" fillId="0" borderId="40" xfId="1" applyNumberFormat="1" applyFont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  <xf numFmtId="164" fontId="2" fillId="2" borderId="45" xfId="1" applyNumberFormat="1" applyFont="1" applyFill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43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34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  <xf numFmtId="2" fontId="2" fillId="0" borderId="21" xfId="1" applyNumberFormat="1" applyFont="1" applyBorder="1" applyAlignment="1">
      <alignment horizontal="center" vertical="center" wrapText="1"/>
    </xf>
    <xf numFmtId="2" fontId="2" fillId="9" borderId="9" xfId="1" applyNumberFormat="1" applyFont="1" applyFill="1" applyBorder="1" applyAlignment="1">
      <alignment horizontal="center" vertical="center" wrapText="1"/>
    </xf>
    <xf numFmtId="2" fontId="2" fillId="8" borderId="30" xfId="1" applyNumberFormat="1" applyFont="1" applyFill="1" applyBorder="1" applyAlignment="1">
      <alignment horizontal="center" vertical="center" wrapText="1"/>
    </xf>
    <xf numFmtId="2" fontId="2" fillId="8" borderId="53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Border="1" applyAlignment="1">
      <alignment horizontal="center" vertical="center" wrapText="1"/>
    </xf>
    <xf numFmtId="2" fontId="2" fillId="8" borderId="40" xfId="1" applyNumberFormat="1" applyFont="1" applyFill="1" applyBorder="1" applyAlignment="1">
      <alignment horizontal="center" vertical="center" wrapText="1"/>
    </xf>
    <xf numFmtId="2" fontId="2" fillId="8" borderId="52" xfId="1" applyNumberFormat="1" applyFont="1" applyFill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164" fontId="2" fillId="4" borderId="7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8" xfId="1" applyNumberFormat="1" applyFont="1" applyFill="1" applyBorder="1" applyAlignment="1">
      <alignment horizontal="center" vertical="center" wrapText="1"/>
    </xf>
    <xf numFmtId="2" fontId="4" fillId="4" borderId="7" xfId="1" applyNumberFormat="1" applyFont="1" applyFill="1" applyBorder="1" applyAlignment="1">
      <alignment horizontal="center" vertical="center" wrapText="1"/>
    </xf>
    <xf numFmtId="2" fontId="4" fillId="4" borderId="9" xfId="1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4" fontId="4" fillId="4" borderId="7" xfId="1" applyNumberFormat="1" applyFont="1" applyFill="1" applyBorder="1" applyAlignment="1">
      <alignment horizontal="center" vertical="center" wrapText="1"/>
    </xf>
    <xf numFmtId="4" fontId="2" fillId="4" borderId="9" xfId="1" applyNumberFormat="1" applyFont="1" applyFill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horizontal="center" vertical="center" wrapText="1"/>
    </xf>
    <xf numFmtId="4" fontId="4" fillId="4" borderId="15" xfId="1" applyNumberFormat="1" applyFont="1" applyFill="1" applyBorder="1" applyAlignment="1">
      <alignment horizontal="center" vertical="center" wrapText="1"/>
    </xf>
    <xf numFmtId="4" fontId="4" fillId="4" borderId="47" xfId="1" applyNumberFormat="1" applyFont="1" applyFill="1" applyBorder="1" applyAlignment="1">
      <alignment horizontal="center" vertical="center" wrapText="1"/>
    </xf>
    <xf numFmtId="4" fontId="4" fillId="4" borderId="16" xfId="1" applyNumberFormat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 wrapText="1"/>
    </xf>
    <xf numFmtId="164" fontId="2" fillId="5" borderId="43" xfId="1" applyNumberFormat="1" applyFont="1" applyFill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center" vertical="center" wrapText="1"/>
    </xf>
    <xf numFmtId="2" fontId="2" fillId="5" borderId="7" xfId="1" applyNumberFormat="1" applyFont="1" applyFill="1" applyBorder="1" applyAlignment="1">
      <alignment horizontal="center" vertical="center" wrapText="1"/>
    </xf>
    <xf numFmtId="2" fontId="2" fillId="5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4" fontId="2" fillId="5" borderId="7" xfId="1" applyNumberFormat="1" applyFont="1" applyFill="1" applyBorder="1" applyAlignment="1">
      <alignment horizontal="center" vertical="center" wrapText="1"/>
    </xf>
    <xf numFmtId="4" fontId="2" fillId="5" borderId="9" xfId="1" applyNumberFormat="1" applyFont="1" applyFill="1" applyBorder="1" applyAlignment="1">
      <alignment horizontal="center" vertical="center" wrapText="1"/>
    </xf>
    <xf numFmtId="4" fontId="2" fillId="5" borderId="8" xfId="1" applyNumberFormat="1" applyFont="1" applyFill="1" applyBorder="1" applyAlignment="1">
      <alignment horizontal="center" vertical="center" wrapText="1"/>
    </xf>
    <xf numFmtId="4" fontId="4" fillId="5" borderId="15" xfId="1" applyNumberFormat="1" applyFont="1" applyFill="1" applyBorder="1" applyAlignment="1">
      <alignment horizontal="center" vertical="center" wrapText="1"/>
    </xf>
    <xf numFmtId="4" fontId="4" fillId="5" borderId="47" xfId="1" applyNumberFormat="1" applyFont="1" applyFill="1" applyBorder="1" applyAlignment="1">
      <alignment horizontal="center" vertical="center" wrapText="1"/>
    </xf>
    <xf numFmtId="4" fontId="4" fillId="5" borderId="16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2" fillId="0" borderId="49" xfId="1" applyNumberFormat="1" applyFont="1" applyBorder="1" applyAlignment="1">
      <alignment horizontal="center" vertical="center" wrapText="1"/>
    </xf>
    <xf numFmtId="2" fontId="2" fillId="0" borderId="20" xfId="1" applyNumberFormat="1" applyFont="1" applyBorder="1" applyAlignment="1">
      <alignment horizontal="center" vertical="center" wrapText="1"/>
    </xf>
    <xf numFmtId="166" fontId="2" fillId="0" borderId="21" xfId="1" applyNumberFormat="1" applyFont="1" applyBorder="1" applyAlignment="1">
      <alignment horizontal="center" vertical="center" wrapText="1"/>
    </xf>
    <xf numFmtId="2" fontId="2" fillId="7" borderId="21" xfId="1" applyNumberFormat="1" applyFont="1" applyFill="1" applyBorder="1" applyAlignment="1">
      <alignment horizontal="center" vertical="center" wrapText="1"/>
    </xf>
    <xf numFmtId="2" fontId="4" fillId="0" borderId="32" xfId="1" applyNumberFormat="1" applyFont="1" applyBorder="1" applyAlignment="1">
      <alignment horizontal="center" vertical="center" wrapText="1"/>
    </xf>
    <xf numFmtId="2" fontId="4" fillId="0" borderId="41" xfId="1" applyNumberFormat="1" applyFont="1" applyBorder="1" applyAlignment="1">
      <alignment horizontal="center" vertical="center" wrapText="1"/>
    </xf>
    <xf numFmtId="2" fontId="4" fillId="0" borderId="19" xfId="1" applyNumberFormat="1" applyFont="1" applyBorder="1" applyAlignment="1">
      <alignment horizontal="center" vertical="center" wrapText="1"/>
    </xf>
    <xf numFmtId="2" fontId="4" fillId="0" borderId="21" xfId="1" applyNumberFormat="1" applyFont="1" applyBorder="1" applyAlignment="1">
      <alignment horizontal="center" vertical="center" wrapText="1"/>
    </xf>
    <xf numFmtId="2" fontId="2" fillId="9" borderId="49" xfId="1" applyNumberFormat="1" applyFont="1" applyFill="1" applyBorder="1" applyAlignment="1">
      <alignment horizontal="center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2" fontId="4" fillId="0" borderId="49" xfId="1" applyNumberFormat="1" applyFont="1" applyBorder="1" applyAlignment="1">
      <alignment horizontal="center" vertical="center" wrapText="1"/>
    </xf>
    <xf numFmtId="2" fontId="4" fillId="0" borderId="30" xfId="1" applyNumberFormat="1" applyFont="1" applyBorder="1" applyAlignment="1">
      <alignment horizontal="center" vertical="center" wrapText="1"/>
    </xf>
    <xf numFmtId="2" fontId="2" fillId="9" borderId="11" xfId="1" applyNumberFormat="1" applyFont="1" applyFill="1" applyBorder="1" applyAlignment="1">
      <alignment horizontal="center" vertical="center" wrapText="1"/>
    </xf>
    <xf numFmtId="2" fontId="2" fillId="0" borderId="53" xfId="1" applyNumberFormat="1" applyFont="1" applyBorder="1" applyAlignment="1">
      <alignment horizontal="center" vertical="center" wrapText="1"/>
    </xf>
    <xf numFmtId="2" fontId="2" fillId="0" borderId="40" xfId="1" applyNumberFormat="1" applyFont="1" applyBorder="1" applyAlignment="1">
      <alignment horizontal="center" vertical="center" wrapText="1"/>
    </xf>
    <xf numFmtId="2" fontId="4" fillId="0" borderId="33" xfId="1" applyNumberFormat="1" applyFont="1" applyBorder="1" applyAlignment="1">
      <alignment horizontal="center" vertical="center" wrapText="1"/>
    </xf>
    <xf numFmtId="4" fontId="2" fillId="4" borderId="42" xfId="1" applyNumberFormat="1" applyFont="1" applyFill="1" applyBorder="1" applyAlignment="1">
      <alignment horizontal="center" vertical="center" wrapText="1"/>
    </xf>
    <xf numFmtId="4" fontId="2" fillId="4" borderId="54" xfId="1" applyNumberFormat="1" applyFont="1" applyFill="1" applyBorder="1" applyAlignment="1">
      <alignment horizontal="center" vertical="center" wrapText="1"/>
    </xf>
    <xf numFmtId="4" fontId="2" fillId="4" borderId="3" xfId="1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" fontId="2" fillId="4" borderId="43" xfId="1" applyNumberFormat="1" applyFont="1" applyFill="1" applyBorder="1" applyAlignment="1">
      <alignment horizontal="center" vertical="center" wrapText="1"/>
    </xf>
    <xf numFmtId="4" fontId="2" fillId="4" borderId="2" xfId="1" applyNumberFormat="1" applyFont="1" applyFill="1" applyBorder="1" applyAlignment="1">
      <alignment horizontal="center" vertical="center" wrapText="1"/>
    </xf>
    <xf numFmtId="4" fontId="4" fillId="4" borderId="40" xfId="1" applyNumberFormat="1" applyFont="1" applyFill="1" applyBorder="1" applyAlignment="1">
      <alignment horizontal="center" vertical="center" wrapText="1"/>
    </xf>
    <xf numFmtId="4" fontId="4" fillId="4" borderId="9" xfId="1" applyNumberFormat="1" applyFont="1" applyFill="1" applyBorder="1" applyAlignment="1">
      <alignment horizontal="center" vertical="center" wrapText="1"/>
    </xf>
    <xf numFmtId="4" fontId="4" fillId="4" borderId="8" xfId="1" applyNumberFormat="1" applyFont="1" applyFill="1" applyBorder="1" applyAlignment="1">
      <alignment horizontal="center" vertical="center" wrapText="1"/>
    </xf>
    <xf numFmtId="4" fontId="4" fillId="4" borderId="45" xfId="1" applyNumberFormat="1" applyFont="1" applyFill="1" applyBorder="1" applyAlignment="1">
      <alignment horizontal="center" vertical="center" wrapText="1"/>
    </xf>
    <xf numFmtId="4" fontId="2" fillId="5" borderId="38" xfId="1" applyNumberFormat="1" applyFont="1" applyFill="1" applyBorder="1" applyAlignment="1">
      <alignment horizontal="center" vertical="center" wrapText="1"/>
    </xf>
    <xf numFmtId="4" fontId="2" fillId="5" borderId="12" xfId="1" applyNumberFormat="1" applyFont="1" applyFill="1" applyBorder="1" applyAlignment="1">
      <alignment horizontal="center" vertical="center" wrapText="1"/>
    </xf>
    <xf numFmtId="4" fontId="2" fillId="5" borderId="39" xfId="1" applyNumberFormat="1" applyFont="1" applyFill="1" applyBorder="1" applyAlignment="1">
      <alignment horizontal="center" vertical="center" wrapText="1"/>
    </xf>
    <xf numFmtId="4" fontId="2" fillId="5" borderId="13" xfId="1" applyNumberFormat="1" applyFont="1" applyFill="1" applyBorder="1" applyAlignment="1">
      <alignment horizontal="center" vertical="center" wrapText="1"/>
    </xf>
    <xf numFmtId="4" fontId="2" fillId="5" borderId="30" xfId="1" applyNumberFormat="1" applyFont="1" applyFill="1" applyBorder="1" applyAlignment="1">
      <alignment horizontal="center" vertical="center" wrapText="1"/>
    </xf>
    <xf numFmtId="4" fontId="2" fillId="5" borderId="49" xfId="1" applyNumberFormat="1" applyFont="1" applyFill="1" applyBorder="1" applyAlignment="1">
      <alignment horizontal="center" vertical="center" wrapText="1"/>
    </xf>
    <xf numFmtId="4" fontId="2" fillId="5" borderId="21" xfId="1" applyNumberFormat="1" applyFont="1" applyFill="1" applyBorder="1" applyAlignment="1">
      <alignment horizontal="center" vertical="center" wrapText="1"/>
    </xf>
    <xf numFmtId="4" fontId="2" fillId="5" borderId="10" xfId="1" applyNumberFormat="1" applyFont="1" applyFill="1" applyBorder="1" applyAlignment="1">
      <alignment horizontal="center" vertical="center" wrapText="1"/>
    </xf>
    <xf numFmtId="4" fontId="2" fillId="5" borderId="20" xfId="1" applyNumberFormat="1" applyFont="1" applyFill="1" applyBorder="1" applyAlignment="1">
      <alignment horizontal="center" vertical="center" wrapText="1"/>
    </xf>
    <xf numFmtId="4" fontId="2" fillId="0" borderId="40" xfId="1" applyNumberFormat="1" applyFont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4" fontId="2" fillId="3" borderId="52" xfId="1" applyNumberFormat="1" applyFont="1" applyFill="1" applyBorder="1" applyAlignment="1">
      <alignment horizontal="center" vertical="center" wrapText="1"/>
    </xf>
    <xf numFmtId="4" fontId="2" fillId="3" borderId="8" xfId="1" applyNumberFormat="1" applyFont="1" applyFill="1" applyBorder="1" applyAlignment="1">
      <alignment horizontal="center" vertical="center" wrapText="1"/>
    </xf>
    <xf numFmtId="4" fontId="4" fillId="3" borderId="13" xfId="1" applyNumberFormat="1" applyFont="1" applyFill="1" applyBorder="1" applyAlignment="1">
      <alignment horizontal="center" vertical="center" wrapText="1"/>
    </xf>
    <xf numFmtId="164" fontId="2" fillId="9" borderId="43" xfId="1" applyNumberFormat="1" applyFont="1" applyFill="1" applyBorder="1" applyAlignment="1">
      <alignment horizontal="center" vertical="center" wrapText="1"/>
    </xf>
    <xf numFmtId="4" fontId="4" fillId="3" borderId="51" xfId="1" applyNumberFormat="1" applyFont="1" applyFill="1" applyBorder="1" applyAlignment="1">
      <alignment horizontal="center" vertical="center" wrapText="1"/>
    </xf>
    <xf numFmtId="2" fontId="4" fillId="3" borderId="13" xfId="1" applyNumberFormat="1" applyFont="1" applyFill="1" applyBorder="1" applyAlignment="1">
      <alignment horizontal="center" vertical="center" wrapText="1"/>
    </xf>
    <xf numFmtId="4" fontId="4" fillId="3" borderId="39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4" fillId="3" borderId="7" xfId="1" applyNumberFormat="1" applyFont="1" applyFill="1" applyBorder="1" applyAlignment="1">
      <alignment horizontal="center" vertical="center" wrapText="1"/>
    </xf>
    <xf numFmtId="4" fontId="4" fillId="3" borderId="52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4" fontId="4" fillId="3" borderId="8" xfId="1" applyNumberFormat="1" applyFont="1" applyFill="1" applyBorder="1" applyAlignment="1">
      <alignment horizontal="center" vertical="center" wrapText="1"/>
    </xf>
    <xf numFmtId="2" fontId="2" fillId="0" borderId="52" xfId="1" applyNumberFormat="1" applyFont="1" applyBorder="1" applyAlignment="1">
      <alignment horizontal="center" vertical="center" wrapText="1"/>
    </xf>
    <xf numFmtId="4" fontId="4" fillId="3" borderId="21" xfId="1" applyNumberFormat="1" applyFont="1" applyFill="1" applyBorder="1" applyAlignment="1">
      <alignment horizontal="center" vertical="center" wrapText="1"/>
    </xf>
    <xf numFmtId="164" fontId="2" fillId="9" borderId="49" xfId="1" applyNumberFormat="1" applyFont="1" applyFill="1" applyBorder="1" applyAlignment="1">
      <alignment horizontal="center" vertical="center" wrapText="1"/>
    </xf>
    <xf numFmtId="4" fontId="4" fillId="3" borderId="30" xfId="1" applyNumberFormat="1" applyFont="1" applyFill="1" applyBorder="1" applyAlignment="1">
      <alignment horizontal="center" vertical="center" wrapText="1"/>
    </xf>
    <xf numFmtId="4" fontId="4" fillId="3" borderId="53" xfId="1" applyNumberFormat="1" applyFont="1" applyFill="1" applyBorder="1" applyAlignment="1">
      <alignment horizontal="center" vertical="center" wrapText="1"/>
    </xf>
    <xf numFmtId="2" fontId="4" fillId="3" borderId="21" xfId="1" applyNumberFormat="1" applyFont="1" applyFill="1" applyBorder="1" applyAlignment="1">
      <alignment horizontal="center" vertical="center" wrapText="1"/>
    </xf>
    <xf numFmtId="4" fontId="4" fillId="3" borderId="20" xfId="1" applyNumberFormat="1" applyFont="1" applyFill="1" applyBorder="1" applyAlignment="1">
      <alignment horizontal="center" vertical="center" wrapText="1"/>
    </xf>
    <xf numFmtId="4" fontId="2" fillId="4" borderId="7" xfId="1" applyNumberFormat="1" applyFont="1" applyFill="1" applyBorder="1" applyAlignment="1">
      <alignment horizontal="center" vertical="center" wrapText="1"/>
    </xf>
    <xf numFmtId="4" fontId="2" fillId="4" borderId="10" xfId="1" applyNumberFormat="1" applyFont="1" applyFill="1" applyBorder="1" applyAlignment="1">
      <alignment horizontal="center" vertical="center" wrapText="1"/>
    </xf>
    <xf numFmtId="4" fontId="2" fillId="4" borderId="40" xfId="1" applyNumberFormat="1" applyFont="1" applyFill="1" applyBorder="1" applyAlignment="1">
      <alignment horizontal="center" vertical="center" wrapText="1"/>
    </xf>
    <xf numFmtId="4" fontId="2" fillId="5" borderId="2" xfId="1" applyNumberFormat="1" applyFont="1" applyFill="1" applyBorder="1" applyAlignment="1">
      <alignment horizontal="center" vertical="center" wrapText="1"/>
    </xf>
    <xf numFmtId="4" fontId="2" fillId="5" borderId="54" xfId="1" applyNumberFormat="1" applyFont="1" applyFill="1" applyBorder="1" applyAlignment="1">
      <alignment horizontal="center" vertical="center" wrapText="1"/>
    </xf>
    <xf numFmtId="4" fontId="2" fillId="5" borderId="3" xfId="1" applyNumberFormat="1" applyFont="1" applyFill="1" applyBorder="1" applyAlignment="1">
      <alignment horizontal="center" vertical="center" wrapText="1"/>
    </xf>
    <xf numFmtId="4" fontId="2" fillId="5" borderId="15" xfId="1" applyNumberFormat="1" applyFont="1" applyFill="1" applyBorder="1" applyAlignment="1">
      <alignment horizontal="center" vertical="center" wrapText="1"/>
    </xf>
    <xf numFmtId="4" fontId="2" fillId="5" borderId="55" xfId="1" applyNumberFormat="1" applyFont="1" applyFill="1" applyBorder="1" applyAlignment="1">
      <alignment horizontal="center" vertical="center" wrapText="1"/>
    </xf>
    <xf numFmtId="4" fontId="2" fillId="5" borderId="16" xfId="1" applyNumberFormat="1" applyFont="1" applyFill="1" applyBorder="1" applyAlignment="1">
      <alignment horizontal="center" vertical="center" wrapText="1"/>
    </xf>
    <xf numFmtId="4" fontId="2" fillId="5" borderId="47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49" fontId="10" fillId="0" borderId="17" xfId="1" applyNumberFormat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vertical="center" wrapText="1"/>
    </xf>
    <xf numFmtId="49" fontId="10" fillId="0" borderId="29" xfId="1" applyNumberFormat="1" applyFont="1" applyBorder="1" applyAlignment="1">
      <alignment horizontal="center" vertical="center"/>
    </xf>
    <xf numFmtId="0" fontId="4" fillId="0" borderId="30" xfId="1" applyFont="1" applyBorder="1" applyAlignment="1">
      <alignment vertical="center" wrapText="1"/>
    </xf>
    <xf numFmtId="49" fontId="10" fillId="0" borderId="4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center" vertical="center" wrapText="1"/>
    </xf>
    <xf numFmtId="0" fontId="4" fillId="0" borderId="27" xfId="1" applyFont="1" applyBorder="1" applyAlignment="1">
      <alignment vertical="center" wrapText="1"/>
    </xf>
    <xf numFmtId="0" fontId="2" fillId="0" borderId="27" xfId="1" applyFont="1" applyBorder="1" applyAlignment="1">
      <alignment horizontal="center" vertical="center" wrapText="1"/>
    </xf>
    <xf numFmtId="49" fontId="10" fillId="0" borderId="34" xfId="1" applyNumberFormat="1" applyFont="1" applyBorder="1" applyAlignment="1">
      <alignment horizontal="center" vertical="center"/>
    </xf>
    <xf numFmtId="0" fontId="4" fillId="0" borderId="34" xfId="1" applyFont="1" applyBorder="1" applyAlignment="1">
      <alignment vertical="center" wrapText="1"/>
    </xf>
    <xf numFmtId="0" fontId="2" fillId="0" borderId="34" xfId="1" applyFont="1" applyBorder="1" applyAlignment="1">
      <alignment horizontal="center" vertical="center" wrapText="1"/>
    </xf>
    <xf numFmtId="49" fontId="10" fillId="0" borderId="35" xfId="1" applyNumberFormat="1" applyFont="1" applyBorder="1" applyAlignment="1">
      <alignment horizontal="center" vertical="center"/>
    </xf>
    <xf numFmtId="49" fontId="10" fillId="0" borderId="37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0" fontId="4" fillId="0" borderId="41" xfId="1" applyFont="1" applyBorder="1" applyAlignment="1">
      <alignment vertical="center" wrapText="1"/>
    </xf>
    <xf numFmtId="49" fontId="15" fillId="0" borderId="0" xfId="1" applyNumberFormat="1" applyFont="1" applyAlignment="1">
      <alignment horizontal="left" vertical="center"/>
    </xf>
    <xf numFmtId="0" fontId="20" fillId="0" borderId="0" xfId="0" applyFont="1"/>
    <xf numFmtId="164" fontId="4" fillId="0" borderId="1" xfId="1" applyNumberFormat="1" applyFont="1" applyBorder="1" applyAlignment="1">
      <alignment vertical="center" wrapText="1"/>
    </xf>
    <xf numFmtId="164" fontId="22" fillId="0" borderId="27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vertical="center" wrapText="1"/>
    </xf>
    <xf numFmtId="164" fontId="23" fillId="0" borderId="34" xfId="1" applyNumberFormat="1" applyFont="1" applyBorder="1" applyAlignment="1">
      <alignment horizontal="center" vertical="center" wrapText="1"/>
    </xf>
    <xf numFmtId="164" fontId="4" fillId="0" borderId="58" xfId="1" applyNumberFormat="1" applyFont="1" applyBorder="1" applyAlignment="1">
      <alignment vertical="center" wrapText="1"/>
    </xf>
    <xf numFmtId="164" fontId="22" fillId="0" borderId="50" xfId="1" applyNumberFormat="1" applyFont="1" applyBorder="1" applyAlignment="1">
      <alignment horizontal="center" vertical="center" wrapText="1"/>
    </xf>
    <xf numFmtId="164" fontId="24" fillId="0" borderId="6" xfId="1" applyNumberFormat="1" applyFont="1" applyBorder="1" applyAlignment="1">
      <alignment vertical="center" wrapText="1"/>
    </xf>
    <xf numFmtId="164" fontId="25" fillId="0" borderId="34" xfId="1" applyNumberFormat="1" applyFont="1" applyBorder="1" applyAlignment="1">
      <alignment horizontal="center" vertical="center" wrapText="1"/>
    </xf>
    <xf numFmtId="164" fontId="22" fillId="0" borderId="6" xfId="4" applyNumberFormat="1" applyFont="1" applyBorder="1" applyAlignment="1">
      <alignment vertical="center" wrapText="1"/>
    </xf>
    <xf numFmtId="164" fontId="26" fillId="0" borderId="34" xfId="4" applyNumberFormat="1" applyFont="1" applyBorder="1" applyAlignment="1">
      <alignment horizontal="center" vertical="center" wrapText="1"/>
    </xf>
    <xf numFmtId="164" fontId="22" fillId="0" borderId="34" xfId="4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vertical="center" wrapText="1"/>
    </xf>
    <xf numFmtId="164" fontId="26" fillId="0" borderId="14" xfId="4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27" fillId="0" borderId="0" xfId="1" applyNumberFormat="1" applyFont="1" applyAlignment="1">
      <alignment horizontal="left" vertical="center"/>
    </xf>
    <xf numFmtId="2" fontId="27" fillId="0" borderId="0" xfId="1" applyNumberFormat="1" applyFont="1" applyAlignment="1">
      <alignment horizontal="left" vertical="center"/>
    </xf>
    <xf numFmtId="164" fontId="4" fillId="0" borderId="38" xfId="1" applyNumberFormat="1" applyFont="1" applyBorder="1" applyAlignment="1">
      <alignment horizontal="center" vertical="center" wrapText="1"/>
    </xf>
    <xf numFmtId="164" fontId="4" fillId="0" borderId="39" xfId="1" applyNumberFormat="1" applyFont="1" applyBorder="1" applyAlignment="1">
      <alignment horizontal="center" vertical="center" wrapText="1"/>
    </xf>
    <xf numFmtId="0" fontId="28" fillId="0" borderId="0" xfId="1" applyFont="1" applyAlignment="1">
      <alignment horizontal="centerContinuous" vertical="center" wrapText="1"/>
    </xf>
    <xf numFmtId="2" fontId="17" fillId="0" borderId="9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7" fillId="0" borderId="47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4" fontId="2" fillId="0" borderId="32" xfId="1" applyNumberFormat="1" applyFont="1" applyBorder="1" applyAlignment="1">
      <alignment horizontal="center" vertical="center" wrapText="1"/>
    </xf>
    <xf numFmtId="4" fontId="2" fillId="0" borderId="26" xfId="1" applyNumberFormat="1" applyFont="1" applyBorder="1" applyAlignment="1">
      <alignment horizontal="center" vertical="center" wrapText="1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4" fontId="4" fillId="0" borderId="13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2" fontId="2" fillId="0" borderId="42" xfId="1" applyNumberFormat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2" fillId="0" borderId="45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2" fontId="29" fillId="0" borderId="0" xfId="1" applyNumberFormat="1" applyFont="1"/>
    <xf numFmtId="0" fontId="30" fillId="0" borderId="0" xfId="2" applyFont="1" applyAlignment="1" applyProtection="1">
      <alignment horizontal="center" vertical="center"/>
      <protection locked="0"/>
    </xf>
    <xf numFmtId="0" fontId="6" fillId="0" borderId="0" xfId="3" applyFont="1" applyAlignment="1">
      <alignment horizontal="justify" vertical="center" wrapText="1"/>
    </xf>
    <xf numFmtId="0" fontId="6" fillId="0" borderId="59" xfId="3" applyFont="1" applyBorder="1" applyAlignment="1">
      <alignment horizontal="justify" vertical="center" wrapText="1"/>
    </xf>
    <xf numFmtId="0" fontId="6" fillId="0" borderId="59" xfId="3" applyFont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29" fillId="0" borderId="0" xfId="2" applyFont="1"/>
    <xf numFmtId="0" fontId="30" fillId="0" borderId="0" xfId="2" applyFont="1" applyAlignment="1" applyProtection="1">
      <alignment horizontal="left" vertical="center"/>
      <protection locked="0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2" fontId="2" fillId="0" borderId="56" xfId="1" applyNumberFormat="1" applyFont="1" applyBorder="1" applyAlignment="1">
      <alignment horizontal="center" vertical="center" wrapText="1"/>
    </xf>
    <xf numFmtId="49" fontId="15" fillId="0" borderId="1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2" fontId="2" fillId="0" borderId="45" xfId="1" applyNumberFormat="1" applyFont="1" applyBorder="1" applyAlignment="1">
      <alignment horizontal="center" vertical="center" wrapText="1"/>
    </xf>
    <xf numFmtId="2" fontId="2" fillId="0" borderId="57" xfId="1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9" fontId="15" fillId="0" borderId="7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6" borderId="31" xfId="1" applyFont="1" applyFill="1" applyBorder="1" applyAlignment="1">
      <alignment horizontal="center" vertical="center" wrapText="1"/>
    </xf>
    <xf numFmtId="0" fontId="4" fillId="6" borderId="18" xfId="1" applyFont="1" applyFill="1" applyBorder="1" applyAlignment="1">
      <alignment horizontal="center" vertical="center" wrapText="1"/>
    </xf>
    <xf numFmtId="0" fontId="4" fillId="6" borderId="46" xfId="1" applyFont="1" applyFill="1" applyBorder="1" applyAlignment="1">
      <alignment horizontal="center" vertical="center" wrapText="1"/>
    </xf>
    <xf numFmtId="0" fontId="4" fillId="6" borderId="36" xfId="1" applyFont="1" applyFill="1" applyBorder="1" applyAlignment="1">
      <alignment horizontal="center" vertical="center" wrapText="1"/>
    </xf>
    <xf numFmtId="0" fontId="4" fillId="7" borderId="31" xfId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center" vertical="center" wrapText="1"/>
    </xf>
    <xf numFmtId="0" fontId="4" fillId="7" borderId="46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36" xfId="1" applyFont="1" applyBorder="1" applyAlignment="1">
      <alignment horizontal="center" vertical="center" wrapText="1"/>
    </xf>
    <xf numFmtId="0" fontId="12" fillId="0" borderId="36" xfId="0" applyFont="1" applyBorder="1" applyAlignment="1">
      <alignment wrapText="1"/>
    </xf>
    <xf numFmtId="0" fontId="4" fillId="0" borderId="4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31" fillId="0" borderId="0" xfId="1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</cellXfs>
  <cellStyles count="5">
    <cellStyle name="Обычный" xfId="0" builtinId="0"/>
    <cellStyle name="Обычный 2 3 2" xfId="4" xr:uid="{E29E93E1-A7DB-4401-A5CB-B5CD983213B3}"/>
    <cellStyle name="Обычный 3 11 2 4" xfId="2" xr:uid="{F771D125-8C30-4E0F-9C30-DABABF9C4CC4}"/>
    <cellStyle name="Обычный 33 2 4" xfId="1" xr:uid="{B3DCED91-A6C7-459C-A4CD-F23F680E12A2}"/>
    <cellStyle name="Обычный 4" xfId="3" xr:uid="{34A2A6F2-361E-4DC8-BF77-B54D4EE98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86;&#1080;%20&#1076;&#1086;&#1082;&#1091;&#1084;&#1077;&#1085;&#1090;&#1099;%20&#1103;&#1085;&#1074;&#1072;&#1088;&#1100;%202012\&#1053;&#1072;&#1089;&#1090;&#1103;\&#1058;&#1040;&#1056;&#1048;&#1060;&#1048;\&#1058;&#1072;&#1088;&#1080;&#1092;%202026-2027\!!!_&#1041;&#1044;&#1085;&#1058;&#1050;&#1045;_&#1044;&#1086;&#1076;&#1072;&#1090;&#1082;&#1080;_&#1058;&#1040;&#1056;&#1048;&#1060;_2026_2027.xlsx" TargetMode="External"/><Relationship Id="rId1" Type="http://schemas.openxmlformats.org/officeDocument/2006/relationships/externalLinkPath" Target="!!!_&#1041;&#1044;&#1085;&#1058;&#1050;&#1045;_&#1044;&#1086;&#1076;&#1072;&#1090;&#1082;&#1080;_&#1058;&#1040;&#1056;&#1048;&#1060;_2026_202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86;&#1080;%20&#1076;&#1086;&#1082;&#1091;&#1084;&#1077;&#1085;&#1090;&#1099;%20&#1103;&#1085;&#1074;&#1072;&#1088;&#1100;%202012\&#1053;&#1072;&#1089;&#1090;&#1103;\&#1058;&#1040;&#1056;&#1048;&#1060;&#1067;\&#1058;&#1072;&#1088;&#1080;&#1092;%20&#1085;&#1072;%2001.10.2021%20(2021-2022)\&#1058;&#1072;&#1088;&#1080;&#1092;%2001.10.2021-30.09.2022%20&#1086;&#1090;&#1082;&#1086;&#1088;&#1088;&#1077;&#1082;&#1090;&#1080;&#1088;&#1086;&#1074;&#1072;&#1085;\!!!_&#1041;&#1044;&#1085;&#1058;&#1050;&#1045;_&#1044;&#1086;&#1076;&#1072;&#1090;&#1082;&#1080;_&#1058;&#1040;&#1056;&#1048;&#1060;_2021_2022_20.08.21%20&#1086;&#1090;%20&#1087;&#1088;&#1086;&#1080;&#1079;&#1074;&#1086;&#1076;&#1089;&#1090;&#1074;&#1072;.xlsx" TargetMode="External"/><Relationship Id="rId1" Type="http://schemas.openxmlformats.org/officeDocument/2006/relationships/externalLinkPath" Target="/&#1052;&#1086;&#1080;%20&#1076;&#1086;&#1082;&#1091;&#1084;&#1077;&#1085;&#1090;&#1099;%20&#1103;&#1085;&#1074;&#1072;&#1088;&#1100;%202012/&#1053;&#1072;&#1089;&#1090;&#1103;/&#1058;&#1040;&#1056;&#1048;&#1060;&#1067;/&#1058;&#1072;&#1088;&#1080;&#1092;%20&#1085;&#1072;%2001.10.2021%20(2021-2022)/&#1058;&#1072;&#1088;&#1080;&#1092;%2001.10.2021-30.09.2022%20&#1086;&#1090;&#1082;&#1086;&#1088;&#1088;&#1077;&#1082;&#1090;&#1080;&#1088;&#1086;&#1074;&#1072;&#1085;/!!!_&#1041;&#1044;&#1085;&#1058;&#1050;&#1045;_&#1044;&#1086;&#1076;&#1072;&#1090;&#1082;&#1080;_&#1058;&#1040;&#1056;&#1048;&#1060;_2021_2022_20.08.21%20&#1086;&#1090;%20&#1087;&#1088;&#1086;&#1080;&#1079;&#1074;&#1086;&#1076;&#1089;&#1090;&#1074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103;&#1085;&#1074;&#1072;&#1088;&#1100;%202012/&#1053;&#1072;&#1089;&#1090;&#1103;/&#1058;&#1040;&#1056;&#1048;&#1060;&#1067;/&#1058;&#1072;&#1088;&#1080;&#1092;%20&#1085;&#1086;&#1074;&#1099;&#1081;%202020%20&#1087;&#1086;&#1089;&#1083;&#1091;&#1075;&#1080;%20&#1085;&#1072;%20&#1087;&#1086;&#1089;&#1090;&#1072;&#1095;.&#1058;&#1045;/&#1058;&#1072;&#1088;&#1080;&#1092;%202020-2021/+++++!!!_&#1041;&#1044;&#1085;&#1058;&#1050;&#1045;_&#1044;&#1086;&#1076;&#1072;&#1090;&#1082;&#1080;_&#1058;&#1040;&#1056;&#1048;&#1060;_2020_2021_22.09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ist"/>
      <sheetName val="Rekv"/>
      <sheetName val="Data"/>
      <sheetName val="ВИТРАТИ"/>
      <sheetName val="П.собів."/>
      <sheetName val="Заява"/>
      <sheetName val="Д 2"/>
      <sheetName val="Д 3"/>
      <sheetName val="Д 4"/>
      <sheetName val="Д 5"/>
      <sheetName val="Д6"/>
      <sheetName val="Д 7"/>
      <sheetName val="Д 8"/>
      <sheetName val="Д 9"/>
      <sheetName val="перерах"/>
      <sheetName val="Д 10"/>
      <sheetName val="Д12 _ДАНІ (фінал)"/>
      <sheetName val="Д11"/>
      <sheetName val="Д 11"/>
      <sheetName val="Д12"/>
      <sheetName val="Д 14_ГВ"/>
      <sheetName val="Д 12"/>
      <sheetName val="Д 13"/>
      <sheetName val="Д14"/>
      <sheetName val="Д15"/>
      <sheetName val="Д 15"/>
      <sheetName val="Д 6"/>
      <sheetName val="Reestr"/>
      <sheetName val="Д16 "/>
      <sheetName val="Д17 2 ст_тариф"/>
      <sheetName val="Структура"/>
      <sheetName val="Перевірка"/>
      <sheetName val="Абон.обслуг."/>
      <sheetName val="2стТЕ_УЗ_УП_162"/>
      <sheetName val="ТЕ_2ст_вих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H17">
            <v>5011.2453684918655</v>
          </cell>
          <cell r="I17">
            <v>7.9542522233143504</v>
          </cell>
          <cell r="J17">
            <v>1878.8187559965772</v>
          </cell>
          <cell r="K17">
            <v>126.17089733533111</v>
          </cell>
        </row>
        <row r="18">
          <cell r="H18">
            <v>3803.2667879436426</v>
          </cell>
          <cell r="I18">
            <v>6.5409241070362496</v>
          </cell>
          <cell r="J18">
            <v>1544.9863228914865</v>
          </cell>
          <cell r="K18">
            <v>103.75258928402329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ist"/>
      <sheetName val="Rekv"/>
      <sheetName val="Data"/>
      <sheetName val="ВИТРАТИ"/>
      <sheetName val="Повна собівартість"/>
      <sheetName val="Zayava"/>
      <sheetName val="Д 2"/>
      <sheetName val="Д 3"/>
      <sheetName val="Д 4"/>
      <sheetName val="Д 5"/>
      <sheetName val="Д6"/>
      <sheetName val="Д 7"/>
      <sheetName val="Д 8"/>
      <sheetName val="Д 9"/>
      <sheetName val="Д 10"/>
      <sheetName val="Д11"/>
      <sheetName val="Д 11"/>
      <sheetName val="Д12"/>
      <sheetName val="Д 14_ГВ"/>
      <sheetName val="Д12 _ДАНІ (фінал)"/>
      <sheetName val="Д 12"/>
      <sheetName val="Д 13"/>
      <sheetName val="Д14"/>
      <sheetName val="Д15"/>
      <sheetName val="Д 15"/>
      <sheetName val="Д 6"/>
      <sheetName val="Reestr"/>
      <sheetName val="Д16 2ст_ТЕвихдані"/>
      <sheetName val="Д17 2 ст_тариф"/>
      <sheetName val="Структура"/>
      <sheetName val="Перевірка"/>
      <sheetName val="Абон.обслуг."/>
      <sheetName val="2стТЕ_УЗ_УП_162"/>
      <sheetName val="ТЕ_2ст_вих"/>
      <sheetName val="Лист1"/>
      <sheetName val="Лист2"/>
    </sheetNames>
    <sheetDataSet>
      <sheetData sheetId="0"/>
      <sheetData sheetId="1"/>
      <sheetData sheetId="2">
        <row r="14">
          <cell r="D14">
            <v>20641.5</v>
          </cell>
        </row>
      </sheetData>
      <sheetData sheetId="3">
        <row r="62">
          <cell r="U62">
            <v>4034.8352047251751</v>
          </cell>
        </row>
      </sheetData>
      <sheetData sheetId="4">
        <row r="134">
          <cell r="H134">
            <v>42903.145371899678</v>
          </cell>
        </row>
      </sheetData>
      <sheetData sheetId="5"/>
      <sheetData sheetId="6">
        <row r="54">
          <cell r="H54">
            <v>52794.466527216857</v>
          </cell>
        </row>
      </sheetData>
      <sheetData sheetId="7"/>
      <sheetData sheetId="8"/>
      <sheetData sheetId="9"/>
      <sheetData sheetId="10"/>
      <sheetData sheetId="11">
        <row r="47">
          <cell r="G47">
            <v>36860.854662129728</v>
          </cell>
        </row>
      </sheetData>
      <sheetData sheetId="12">
        <row r="10">
          <cell r="E10">
            <v>8204</v>
          </cell>
        </row>
      </sheetData>
      <sheetData sheetId="13"/>
      <sheetData sheetId="14">
        <row r="13">
          <cell r="E13">
            <v>100.06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7">
          <cell r="K17">
            <v>1.4059893333333335E-2</v>
          </cell>
        </row>
        <row r="118">
          <cell r="H118">
            <v>0</v>
          </cell>
          <cell r="K118">
            <v>0</v>
          </cell>
          <cell r="N118">
            <v>0</v>
          </cell>
          <cell r="Q118">
            <v>0</v>
          </cell>
        </row>
        <row r="119">
          <cell r="H119">
            <v>0</v>
          </cell>
          <cell r="K119">
            <v>0</v>
          </cell>
          <cell r="N119">
            <v>0</v>
          </cell>
          <cell r="Q119">
            <v>0</v>
          </cell>
        </row>
        <row r="120">
          <cell r="H120">
            <v>0</v>
          </cell>
          <cell r="K120">
            <v>0</v>
          </cell>
          <cell r="N120">
            <v>0</v>
          </cell>
          <cell r="Q120">
            <v>0</v>
          </cell>
        </row>
        <row r="151">
          <cell r="H151">
            <v>0</v>
          </cell>
          <cell r="J151">
            <v>0</v>
          </cell>
          <cell r="K151">
            <v>0</v>
          </cell>
        </row>
        <row r="152">
          <cell r="H152">
            <v>0</v>
          </cell>
          <cell r="J152">
            <v>0</v>
          </cell>
          <cell r="K152">
            <v>0</v>
          </cell>
        </row>
        <row r="153">
          <cell r="H153">
            <v>0</v>
          </cell>
          <cell r="J153">
            <v>0</v>
          </cell>
          <cell r="K153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ist"/>
      <sheetName val="Rekv"/>
      <sheetName val="Data"/>
      <sheetName val="ВИТРАТИ"/>
      <sheetName val="Повна собівартість"/>
      <sheetName val="Zayava"/>
      <sheetName val="Д 2"/>
      <sheetName val="Д 3"/>
      <sheetName val="Д 4"/>
      <sheetName val="Д 5"/>
      <sheetName val="Д 7"/>
      <sheetName val="Д 8"/>
      <sheetName val="Д 9"/>
      <sheetName val="Д 10"/>
      <sheetName val="Д 11"/>
      <sheetName val="Д12"/>
      <sheetName val="Д 14_ГВ"/>
      <sheetName val="Д12 _ДАНІ (фінал)"/>
      <sheetName val="Д 12"/>
      <sheetName val="Д 13"/>
      <sheetName val="Д 15"/>
      <sheetName val="Д 6"/>
      <sheetName val="Reestr"/>
      <sheetName val="2ст_ТЕвихдані"/>
      <sheetName val="ТЕ_2ст_тариф (Ком_по зм.част)"/>
      <sheetName val="Перевірка"/>
      <sheetName val="2стТЕ_УЗ_УП_162"/>
      <sheetName val="ТЕ_2ст_вих"/>
    </sheetNames>
    <sheetDataSet>
      <sheetData sheetId="0"/>
      <sheetData sheetId="1">
        <row r="26">
          <cell r="C26" t="str">
            <v>Директор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opLeftCell="A19" workbookViewId="0">
      <selection activeCell="B144" sqref="B144"/>
    </sheetView>
  </sheetViews>
  <sheetFormatPr defaultRowHeight="14.4" x14ac:dyDescent="0.3"/>
  <cols>
    <col min="1" max="1" width="7.6640625" style="85" customWidth="1"/>
    <col min="2" max="2" width="41.44140625" style="83" customWidth="1"/>
    <col min="3" max="3" width="11.109375" style="83" customWidth="1"/>
    <col min="4" max="4" width="13.33203125" style="83" customWidth="1"/>
    <col min="5" max="5" width="13" style="83" customWidth="1"/>
    <col min="6" max="6" width="14.6640625" style="84" customWidth="1"/>
    <col min="7" max="7" width="14.44140625" style="84" customWidth="1"/>
    <col min="8" max="8" width="16" style="84" customWidth="1"/>
  </cols>
  <sheetData>
    <row r="1" spans="1:8" x14ac:dyDescent="0.3">
      <c r="F1" s="318" t="s">
        <v>170</v>
      </c>
    </row>
    <row r="2" spans="1:8" x14ac:dyDescent="0.3">
      <c r="F2" s="318" t="s">
        <v>171</v>
      </c>
    </row>
    <row r="3" spans="1:8" x14ac:dyDescent="0.3">
      <c r="F3" s="318" t="s">
        <v>172</v>
      </c>
    </row>
    <row r="4" spans="1:8" x14ac:dyDescent="0.3">
      <c r="F4" s="318" t="s">
        <v>174</v>
      </c>
    </row>
    <row r="5" spans="1:8" ht="61.2" customHeight="1" x14ac:dyDescent="0.3">
      <c r="A5" s="245"/>
      <c r="B5" s="337" t="s">
        <v>168</v>
      </c>
      <c r="C5" s="338"/>
      <c r="D5" s="338"/>
      <c r="E5" s="338"/>
      <c r="F5" s="338"/>
      <c r="G5" s="338"/>
      <c r="H5" s="338"/>
    </row>
    <row r="6" spans="1:8" ht="18" thickBot="1" x14ac:dyDescent="0.35">
      <c r="A6" s="245"/>
      <c r="B6" s="246" t="s">
        <v>0</v>
      </c>
      <c r="C6" s="246"/>
      <c r="D6" s="288"/>
      <c r="E6" s="288"/>
      <c r="F6" s="288"/>
      <c r="G6" s="288"/>
      <c r="H6" s="288"/>
    </row>
    <row r="7" spans="1:8" s="51" customFormat="1" ht="16.2" thickBot="1" x14ac:dyDescent="0.35">
      <c r="A7" s="339" t="s">
        <v>1</v>
      </c>
      <c r="B7" s="341" t="s">
        <v>2</v>
      </c>
      <c r="C7" s="343" t="s">
        <v>3</v>
      </c>
      <c r="D7" s="341" t="s">
        <v>4</v>
      </c>
      <c r="E7" s="345" t="s">
        <v>5</v>
      </c>
      <c r="F7" s="336"/>
      <c r="G7" s="336"/>
      <c r="H7" s="336"/>
    </row>
    <row r="8" spans="1:8" s="51" customFormat="1" ht="57.6" customHeight="1" x14ac:dyDescent="0.3">
      <c r="A8" s="340"/>
      <c r="B8" s="342"/>
      <c r="C8" s="344"/>
      <c r="D8" s="342"/>
      <c r="E8" s="283" t="s">
        <v>6</v>
      </c>
      <c r="F8" s="283" t="s">
        <v>7</v>
      </c>
      <c r="G8" s="283" t="s">
        <v>8</v>
      </c>
      <c r="H8" s="283" t="s">
        <v>9</v>
      </c>
    </row>
    <row r="9" spans="1:8" s="51" customFormat="1" ht="15.6" x14ac:dyDescent="0.3">
      <c r="A9" s="87">
        <v>1</v>
      </c>
      <c r="B9" s="1">
        <v>2</v>
      </c>
      <c r="C9" s="2">
        <v>3</v>
      </c>
      <c r="D9" s="1">
        <v>4</v>
      </c>
      <c r="E9" s="2">
        <v>5</v>
      </c>
      <c r="F9" s="1">
        <v>6</v>
      </c>
      <c r="G9" s="2">
        <v>7</v>
      </c>
      <c r="H9" s="1">
        <v>8</v>
      </c>
    </row>
    <row r="10" spans="1:8" s="51" customFormat="1" ht="31.2" x14ac:dyDescent="0.3">
      <c r="A10" s="62" t="s">
        <v>11</v>
      </c>
      <c r="B10" s="4" t="s">
        <v>12</v>
      </c>
      <c r="C10" s="2" t="s">
        <v>13</v>
      </c>
      <c r="D10" s="52">
        <f>E10+F10+G10+H10</f>
        <v>37.499901600000001</v>
      </c>
      <c r="E10" s="52">
        <f>'Додаток 2'!G14</f>
        <v>28.933216600000002</v>
      </c>
      <c r="F10" s="52">
        <f>'Додаток 2'!J14</f>
        <v>3.3851699999999998E-2</v>
      </c>
      <c r="G10" s="52">
        <f>'Додаток 2'!M14</f>
        <v>7.9958752999999998</v>
      </c>
      <c r="H10" s="52">
        <f>'Додаток 2'!P14</f>
        <v>0.53695800000000005</v>
      </c>
    </row>
    <row r="11" spans="1:8" s="51" customFormat="1" ht="15.6" x14ac:dyDescent="0.3">
      <c r="A11" s="62" t="s">
        <v>14</v>
      </c>
      <c r="B11" s="5" t="s">
        <v>15</v>
      </c>
      <c r="C11" s="2" t="s">
        <v>16</v>
      </c>
      <c r="D11" s="52">
        <f>E11+F11+G11+H11</f>
        <v>28.912800000000001</v>
      </c>
      <c r="E11" s="52">
        <f>'Додаток 2'!G15</f>
        <v>22.3078</v>
      </c>
      <c r="F11" s="52">
        <f>'Додаток 2'!J15</f>
        <v>2.6100000000000002E-2</v>
      </c>
      <c r="G11" s="52">
        <f>'Додаток 2'!M15</f>
        <v>6.1649000000000003</v>
      </c>
      <c r="H11" s="52">
        <f>'Додаток 2'!P15</f>
        <v>0.41399999999999998</v>
      </c>
    </row>
    <row r="12" spans="1:8" s="51" customFormat="1" ht="31.2" customHeight="1" x14ac:dyDescent="0.3">
      <c r="A12" s="74" t="s">
        <v>17</v>
      </c>
      <c r="B12" s="6" t="s">
        <v>18</v>
      </c>
      <c r="C12" s="7" t="s">
        <v>19</v>
      </c>
      <c r="D12" s="52">
        <f>E12+F12+G12+H12</f>
        <v>37.499901600000001</v>
      </c>
      <c r="E12" s="52">
        <f>'Додаток 2'!G16</f>
        <v>28.933216600000002</v>
      </c>
      <c r="F12" s="52">
        <f>'Додаток 2'!J16</f>
        <v>3.3851699999999998E-2</v>
      </c>
      <c r="G12" s="52">
        <f>'Додаток 2'!M16</f>
        <v>7.9958752999999998</v>
      </c>
      <c r="H12" s="52">
        <f>'Додаток 2'!P16</f>
        <v>0.53695800000000005</v>
      </c>
    </row>
    <row r="13" spans="1:8" s="51" customFormat="1" ht="15.6" x14ac:dyDescent="0.3">
      <c r="A13" s="346" t="s">
        <v>20</v>
      </c>
      <c r="B13" s="8" t="s">
        <v>21</v>
      </c>
      <c r="C13" s="9"/>
      <c r="D13" s="247"/>
      <c r="E13" s="247"/>
      <c r="F13" s="247"/>
      <c r="G13" s="247"/>
      <c r="H13" s="247"/>
    </row>
    <row r="14" spans="1:8" s="51" customFormat="1" ht="31.2" x14ac:dyDescent="0.3">
      <c r="A14" s="346"/>
      <c r="B14" s="10" t="s">
        <v>22</v>
      </c>
      <c r="C14" s="7" t="s">
        <v>23</v>
      </c>
      <c r="D14" s="52">
        <f>E14+F14+G14+H14</f>
        <v>36.207999999999998</v>
      </c>
      <c r="E14" s="52">
        <f>'Додаток 2'!G18</f>
        <v>28.196999999999999</v>
      </c>
      <c r="F14" s="52">
        <f>'Додаток 2'!J18</f>
        <v>3.4000000000000002E-2</v>
      </c>
      <c r="G14" s="52">
        <f>'Додаток 2'!M18</f>
        <v>7.44</v>
      </c>
      <c r="H14" s="52">
        <f>'Додаток 2'!P18</f>
        <v>0.53700000000000003</v>
      </c>
    </row>
    <row r="15" spans="1:8" s="51" customFormat="1" ht="47.4" thickBot="1" x14ac:dyDescent="0.35">
      <c r="A15" s="88" t="s">
        <v>24</v>
      </c>
      <c r="B15" s="248" t="s">
        <v>159</v>
      </c>
      <c r="C15" s="249" t="s">
        <v>13</v>
      </c>
      <c r="D15" s="293">
        <f>E15+F15+G15+H15</f>
        <v>39.691071000000001</v>
      </c>
      <c r="E15" s="293">
        <f>'Додаток 2'!G19</f>
        <v>30.623823000000002</v>
      </c>
      <c r="F15" s="293">
        <f>'Додаток 2'!J19</f>
        <v>3.5830000000000001E-2</v>
      </c>
      <c r="G15" s="293">
        <f>'Додаток 2'!M19</f>
        <v>8.4630849999999995</v>
      </c>
      <c r="H15" s="293">
        <f>'Додаток 2'!P19</f>
        <v>0.56833299999999998</v>
      </c>
    </row>
    <row r="16" spans="1:8" ht="16.2" thickBot="1" x14ac:dyDescent="0.35">
      <c r="A16" s="250"/>
      <c r="B16" s="347" t="s">
        <v>25</v>
      </c>
      <c r="C16" s="348"/>
      <c r="D16" s="348"/>
      <c r="E16" s="348"/>
      <c r="F16" s="348"/>
      <c r="G16" s="348"/>
      <c r="H16" s="348"/>
    </row>
    <row r="17" spans="1:8" s="51" customFormat="1" ht="18.600000000000001" customHeight="1" x14ac:dyDescent="0.3">
      <c r="A17" s="62">
        <v>1</v>
      </c>
      <c r="B17" s="63" t="s">
        <v>26</v>
      </c>
      <c r="C17" s="13" t="s">
        <v>27</v>
      </c>
      <c r="D17" s="136">
        <f>D18+D29+D30+D34</f>
        <v>87682.548779999997</v>
      </c>
      <c r="E17" s="136">
        <f t="shared" ref="E17:H17" si="0">E18+E29+E30+E34</f>
        <v>60431.982530000008</v>
      </c>
      <c r="F17" s="136">
        <f t="shared" si="0"/>
        <v>107.68203</v>
      </c>
      <c r="G17" s="136">
        <f t="shared" si="0"/>
        <v>25434.824509999999</v>
      </c>
      <c r="H17" s="136">
        <f t="shared" si="0"/>
        <v>1708.0597100000002</v>
      </c>
    </row>
    <row r="18" spans="1:8" s="51" customFormat="1" ht="15.6" x14ac:dyDescent="0.3">
      <c r="A18" s="62" t="s">
        <v>28</v>
      </c>
      <c r="B18" s="64" t="s">
        <v>29</v>
      </c>
      <c r="C18" s="14" t="s">
        <v>27</v>
      </c>
      <c r="D18" s="139">
        <f>D19+D23+D24+D27+D28</f>
        <v>63676.749980000008</v>
      </c>
      <c r="E18" s="139">
        <f>E19+E23+E24+E27+E28</f>
        <v>41910.201230000006</v>
      </c>
      <c r="F18" s="139">
        <f t="shared" ref="F18:H18" si="1">F19+F23+F24+F27+F28</f>
        <v>86.01164</v>
      </c>
      <c r="G18" s="139">
        <f t="shared" si="1"/>
        <v>20316.214450000003</v>
      </c>
      <c r="H18" s="139">
        <f t="shared" si="1"/>
        <v>1364.32266</v>
      </c>
    </row>
    <row r="19" spans="1:8" s="51" customFormat="1" ht="15.6" x14ac:dyDescent="0.3">
      <c r="A19" s="62" t="s">
        <v>30</v>
      </c>
      <c r="B19" s="65" t="s">
        <v>31</v>
      </c>
      <c r="C19" s="14" t="s">
        <v>27</v>
      </c>
      <c r="D19" s="61">
        <f>D20+D21+D22</f>
        <v>56890.55732</v>
      </c>
      <c r="E19" s="61">
        <f>E20+E21+E22</f>
        <v>36674.283960000001</v>
      </c>
      <c r="F19" s="61">
        <f t="shared" ref="F19:H19" si="2">F20+F21+F22</f>
        <v>79.885649999999998</v>
      </c>
      <c r="G19" s="61">
        <f t="shared" si="2"/>
        <v>18869.235980000001</v>
      </c>
      <c r="H19" s="61">
        <f t="shared" si="2"/>
        <v>1267.15173</v>
      </c>
    </row>
    <row r="20" spans="1:8" s="51" customFormat="1" ht="15.6" x14ac:dyDescent="0.3">
      <c r="A20" s="62" t="s">
        <v>32</v>
      </c>
      <c r="B20" s="15" t="s">
        <v>33</v>
      </c>
      <c r="C20" s="14" t="s">
        <v>27</v>
      </c>
      <c r="D20" s="61">
        <f>E20+F20+G20+H20</f>
        <v>43241.362070000003</v>
      </c>
      <c r="E20" s="61">
        <f>'Додаток 2'!G24</f>
        <v>26143.186379999999</v>
      </c>
      <c r="F20" s="61">
        <f>'Додаток 2'!J24</f>
        <v>67.564329999999998</v>
      </c>
      <c r="G20" s="61">
        <f>'Додаток 2'!M24</f>
        <v>15958.901330000001</v>
      </c>
      <c r="H20" s="61">
        <f>'Додаток 2'!P24</f>
        <v>1071.71003</v>
      </c>
    </row>
    <row r="21" spans="1:8" s="51" customFormat="1" ht="15.6" x14ac:dyDescent="0.3">
      <c r="A21" s="62" t="s">
        <v>34</v>
      </c>
      <c r="B21" s="15" t="s">
        <v>35</v>
      </c>
      <c r="C21" s="14" t="s">
        <v>27</v>
      </c>
      <c r="D21" s="61">
        <f t="shared" ref="D21:D29" si="3">E21+F21+G21+H21</f>
        <v>3025.7981299999992</v>
      </c>
      <c r="E21" s="61">
        <f>'Додаток 2'!G25</f>
        <v>2334.5680699999998</v>
      </c>
      <c r="F21" s="61">
        <f>'Додаток 2'!J25</f>
        <v>2.73143</v>
      </c>
      <c r="G21" s="61">
        <f>'Додаток 2'!M25</f>
        <v>645.17247999999995</v>
      </c>
      <c r="H21" s="61">
        <f>'Додаток 2'!P25</f>
        <v>43.326149999999998</v>
      </c>
    </row>
    <row r="22" spans="1:8" s="51" customFormat="1" ht="15.6" x14ac:dyDescent="0.3">
      <c r="A22" s="62" t="s">
        <v>36</v>
      </c>
      <c r="B22" s="15" t="s">
        <v>37</v>
      </c>
      <c r="C22" s="14" t="s">
        <v>27</v>
      </c>
      <c r="D22" s="61">
        <f t="shared" si="3"/>
        <v>10623.39712</v>
      </c>
      <c r="E22" s="61">
        <f>'Додаток 2'!G26</f>
        <v>8196.5295100000003</v>
      </c>
      <c r="F22" s="61">
        <f>'Додаток 2'!J26</f>
        <v>9.5898900000000005</v>
      </c>
      <c r="G22" s="61">
        <f>'Додаток 2'!M26</f>
        <v>2265.1621700000001</v>
      </c>
      <c r="H22" s="61">
        <f>'Додаток 2'!P26</f>
        <v>152.11555000000001</v>
      </c>
    </row>
    <row r="23" spans="1:8" s="51" customFormat="1" ht="15.6" x14ac:dyDescent="0.3">
      <c r="A23" s="62" t="s">
        <v>38</v>
      </c>
      <c r="B23" s="16" t="s">
        <v>39</v>
      </c>
      <c r="C23" s="14" t="s">
        <v>27</v>
      </c>
      <c r="D23" s="61">
        <f t="shared" si="3"/>
        <v>5858.1283800000001</v>
      </c>
      <c r="E23" s="61">
        <f>'Додаток 2'!G27</f>
        <v>4519.8651200000004</v>
      </c>
      <c r="F23" s="61">
        <f>'Додаток 2'!J27</f>
        <v>5.2882199999999999</v>
      </c>
      <c r="G23" s="61">
        <f>'Додаток 2'!M27</f>
        <v>1249.0929799999999</v>
      </c>
      <c r="H23" s="61">
        <f>'Додаток 2'!P27</f>
        <v>83.882059999999996</v>
      </c>
    </row>
    <row r="24" spans="1:8" s="51" customFormat="1" ht="79.2" x14ac:dyDescent="0.3">
      <c r="A24" s="62" t="s">
        <v>40</v>
      </c>
      <c r="B24" s="17" t="s">
        <v>41</v>
      </c>
      <c r="C24" s="14" t="s">
        <v>27</v>
      </c>
      <c r="D24" s="61">
        <f t="shared" si="3"/>
        <v>0</v>
      </c>
      <c r="E24" s="61">
        <v>0</v>
      </c>
      <c r="F24" s="61">
        <v>0</v>
      </c>
      <c r="G24" s="61">
        <v>0</v>
      </c>
      <c r="H24" s="61">
        <v>0</v>
      </c>
    </row>
    <row r="25" spans="1:8" s="51" customFormat="1" ht="15.6" x14ac:dyDescent="0.3">
      <c r="A25" s="62" t="s">
        <v>42</v>
      </c>
      <c r="B25" s="17" t="s">
        <v>43</v>
      </c>
      <c r="C25" s="14" t="s">
        <v>27</v>
      </c>
      <c r="D25" s="61">
        <f t="shared" si="3"/>
        <v>0</v>
      </c>
      <c r="E25" s="61">
        <v>0</v>
      </c>
      <c r="F25" s="61">
        <v>0</v>
      </c>
      <c r="G25" s="61">
        <v>0</v>
      </c>
      <c r="H25" s="61">
        <v>0</v>
      </c>
    </row>
    <row r="26" spans="1:8" s="51" customFormat="1" ht="39.6" x14ac:dyDescent="0.3">
      <c r="A26" s="62" t="s">
        <v>44</v>
      </c>
      <c r="B26" s="17" t="s">
        <v>45</v>
      </c>
      <c r="C26" s="14" t="s">
        <v>27</v>
      </c>
      <c r="D26" s="61">
        <f t="shared" si="3"/>
        <v>0</v>
      </c>
      <c r="E26" s="61">
        <v>0</v>
      </c>
      <c r="F26" s="61">
        <v>0</v>
      </c>
      <c r="G26" s="61">
        <v>0</v>
      </c>
      <c r="H26" s="61">
        <v>0</v>
      </c>
    </row>
    <row r="27" spans="1:8" s="51" customFormat="1" ht="26.4" x14ac:dyDescent="0.3">
      <c r="A27" s="62" t="s">
        <v>46</v>
      </c>
      <c r="B27" s="66" t="s">
        <v>47</v>
      </c>
      <c r="C27" s="14" t="s">
        <v>27</v>
      </c>
      <c r="D27" s="61">
        <f t="shared" si="3"/>
        <v>212.19862000000003</v>
      </c>
      <c r="E27" s="61">
        <f>'Додаток 2'!G29</f>
        <v>163.72280000000001</v>
      </c>
      <c r="F27" s="61">
        <f>'Додаток 2'!J29</f>
        <v>0.19155</v>
      </c>
      <c r="G27" s="61">
        <f>'Додаток 2'!M29</f>
        <v>45.245820000000002</v>
      </c>
      <c r="H27" s="61">
        <f>'Додаток 2'!P29</f>
        <v>3.0384500000000001</v>
      </c>
    </row>
    <row r="28" spans="1:8" s="51" customFormat="1" ht="15.6" x14ac:dyDescent="0.3">
      <c r="A28" s="62" t="s">
        <v>48</v>
      </c>
      <c r="B28" s="64" t="s">
        <v>49</v>
      </c>
      <c r="C28" s="14" t="s">
        <v>27</v>
      </c>
      <c r="D28" s="61">
        <f t="shared" si="3"/>
        <v>715.86565999999993</v>
      </c>
      <c r="E28" s="61">
        <f>'Додаток 2'!G30</f>
        <v>552.32934999999998</v>
      </c>
      <c r="F28" s="61">
        <f>'Додаток 2'!J30</f>
        <v>0.64622000000000002</v>
      </c>
      <c r="G28" s="61">
        <f>'Додаток 2'!M30</f>
        <v>152.63967</v>
      </c>
      <c r="H28" s="61">
        <f>'Додаток 2'!P30</f>
        <v>10.25042</v>
      </c>
    </row>
    <row r="29" spans="1:8" s="51" customFormat="1" ht="15.6" x14ac:dyDescent="0.3">
      <c r="A29" s="62" t="s">
        <v>50</v>
      </c>
      <c r="B29" s="64" t="s">
        <v>51</v>
      </c>
      <c r="C29" s="14" t="s">
        <v>27</v>
      </c>
      <c r="D29" s="61">
        <f t="shared" si="3"/>
        <v>16123.539079999999</v>
      </c>
      <c r="E29" s="61">
        <f>'Додаток 2'!G31</f>
        <v>12440.188599999999</v>
      </c>
      <c r="F29" s="61">
        <f>'Додаток 2'!J31</f>
        <v>14.55495</v>
      </c>
      <c r="G29" s="61">
        <f>'Додаток 2'!M31</f>
        <v>3437.9238999999998</v>
      </c>
      <c r="H29" s="61">
        <f>'Додаток 2'!P31</f>
        <v>230.87163000000001</v>
      </c>
    </row>
    <row r="30" spans="1:8" s="51" customFormat="1" ht="15.6" x14ac:dyDescent="0.3">
      <c r="A30" s="62" t="s">
        <v>52</v>
      </c>
      <c r="B30" s="64" t="s">
        <v>53</v>
      </c>
      <c r="C30" s="14" t="s">
        <v>27</v>
      </c>
      <c r="D30" s="61">
        <f>D31+D32+D33</f>
        <v>4377.1486199999999</v>
      </c>
      <c r="E30" s="61">
        <f>E31+E32+E33</f>
        <v>3377.2085699999998</v>
      </c>
      <c r="F30" s="61">
        <f>F31+F32+F33</f>
        <v>3.9513199999999999</v>
      </c>
      <c r="G30" s="61">
        <f>G31+G32+G33</f>
        <v>933.31269999999995</v>
      </c>
      <c r="H30" s="61">
        <f>H31+H32+H33</f>
        <v>62.676029999999997</v>
      </c>
    </row>
    <row r="31" spans="1:8" s="51" customFormat="1" ht="26.4" x14ac:dyDescent="0.3">
      <c r="A31" s="62" t="s">
        <v>54</v>
      </c>
      <c r="B31" s="65" t="s">
        <v>55</v>
      </c>
      <c r="C31" s="14" t="s">
        <v>27</v>
      </c>
      <c r="D31" s="61">
        <f>E31+F31+G31+H31</f>
        <v>3270.0357600000002</v>
      </c>
      <c r="E31" s="61">
        <f>'Додаток 2'!G33</f>
        <v>2523.0106999999998</v>
      </c>
      <c r="F31" s="61">
        <f>'Додаток 2'!J33</f>
        <v>2.9519099999999998</v>
      </c>
      <c r="G31" s="61">
        <f>'Додаток 2'!M33</f>
        <v>697.24977999999999</v>
      </c>
      <c r="H31" s="61">
        <f>'Додаток 2'!P33</f>
        <v>46.823369999999997</v>
      </c>
    </row>
    <row r="32" spans="1:8" s="51" customFormat="1" ht="15.6" x14ac:dyDescent="0.3">
      <c r="A32" s="62" t="s">
        <v>56</v>
      </c>
      <c r="B32" s="16" t="s">
        <v>57</v>
      </c>
      <c r="C32" s="14" t="s">
        <v>27</v>
      </c>
      <c r="D32" s="61">
        <f t="shared" ref="D32:D33" si="4">E32+F32+G32+H32</f>
        <v>0</v>
      </c>
      <c r="E32" s="61">
        <f>'Додаток 2'!G34</f>
        <v>0</v>
      </c>
      <c r="F32" s="61">
        <f>'Додаток 2'!J34</f>
        <v>0</v>
      </c>
      <c r="G32" s="61">
        <f>'Додаток 2'!M34</f>
        <v>0</v>
      </c>
      <c r="H32" s="61">
        <f>'Додаток 2'!P34</f>
        <v>0</v>
      </c>
    </row>
    <row r="33" spans="1:8" s="51" customFormat="1" ht="15.6" x14ac:dyDescent="0.3">
      <c r="A33" s="62" t="s">
        <v>58</v>
      </c>
      <c r="B33" s="16" t="s">
        <v>59</v>
      </c>
      <c r="C33" s="14" t="s">
        <v>27</v>
      </c>
      <c r="D33" s="61">
        <f t="shared" si="4"/>
        <v>1107.11286</v>
      </c>
      <c r="E33" s="61">
        <f>'Додаток 2'!G35</f>
        <v>854.19786999999997</v>
      </c>
      <c r="F33" s="61">
        <f>'Додаток 2'!J35</f>
        <v>0.99941000000000002</v>
      </c>
      <c r="G33" s="61">
        <f>'Додаток 2'!M35</f>
        <v>236.06291999999999</v>
      </c>
      <c r="H33" s="61">
        <f>'Додаток 2'!P35</f>
        <v>15.85266</v>
      </c>
    </row>
    <row r="34" spans="1:8" s="51" customFormat="1" ht="15.6" x14ac:dyDescent="0.3">
      <c r="A34" s="62" t="s">
        <v>60</v>
      </c>
      <c r="B34" s="67" t="s">
        <v>61</v>
      </c>
      <c r="C34" s="14" t="s">
        <v>27</v>
      </c>
      <c r="D34" s="139">
        <f>D35+D36+D37</f>
        <v>3505.1110999999996</v>
      </c>
      <c r="E34" s="139">
        <f>E35+E36+E37</f>
        <v>2704.3841299999999</v>
      </c>
      <c r="F34" s="139">
        <f t="shared" ref="F34:H34" si="5">F35+F36+F37</f>
        <v>3.16412</v>
      </c>
      <c r="G34" s="139">
        <f t="shared" si="5"/>
        <v>747.37346000000002</v>
      </c>
      <c r="H34" s="139">
        <f t="shared" si="5"/>
        <v>50.189389999999989</v>
      </c>
    </row>
    <row r="35" spans="1:8" s="51" customFormat="1" ht="15.6" x14ac:dyDescent="0.3">
      <c r="A35" s="62" t="s">
        <v>62</v>
      </c>
      <c r="B35" s="16" t="s">
        <v>63</v>
      </c>
      <c r="C35" s="14" t="s">
        <v>27</v>
      </c>
      <c r="D35" s="61">
        <f>E35+F35+G35+H35</f>
        <v>2530.2229499999999</v>
      </c>
      <c r="E35" s="61">
        <f>'Додаток 2'!G37</f>
        <v>1952.2048199999999</v>
      </c>
      <c r="F35" s="61">
        <f>'Додаток 2'!J37</f>
        <v>2.2840699999999998</v>
      </c>
      <c r="G35" s="61">
        <f>'Додаток 2'!M37</f>
        <v>539.50400999999999</v>
      </c>
      <c r="H35" s="61">
        <f>'Додаток 2'!P37</f>
        <v>36.230049999999999</v>
      </c>
    </row>
    <row r="36" spans="1:8" s="51" customFormat="1" ht="26.4" x14ac:dyDescent="0.3">
      <c r="A36" s="62" t="s">
        <v>64</v>
      </c>
      <c r="B36" s="65" t="s">
        <v>55</v>
      </c>
      <c r="C36" s="14" t="s">
        <v>27</v>
      </c>
      <c r="D36" s="61">
        <f t="shared" ref="D36:D37" si="6">E36+F36+G36+H36</f>
        <v>493.30151000000001</v>
      </c>
      <c r="E36" s="61">
        <f>'Додаток 2'!G38</f>
        <v>380.60899000000001</v>
      </c>
      <c r="F36" s="61">
        <f>'Додаток 2'!J38</f>
        <v>0.44530999999999998</v>
      </c>
      <c r="G36" s="61">
        <f>'Додаток 2'!M38</f>
        <v>105.18367000000001</v>
      </c>
      <c r="H36" s="61">
        <f>'Додаток 2'!P38</f>
        <v>7.0635399999999997</v>
      </c>
    </row>
    <row r="37" spans="1:8" s="51" customFormat="1" ht="15.6" x14ac:dyDescent="0.3">
      <c r="A37" s="62" t="s">
        <v>65</v>
      </c>
      <c r="B37" s="16" t="s">
        <v>66</v>
      </c>
      <c r="C37" s="14" t="s">
        <v>27</v>
      </c>
      <c r="D37" s="61">
        <f t="shared" si="6"/>
        <v>481.58663999999999</v>
      </c>
      <c r="E37" s="61">
        <f>'Додаток 2'!G39</f>
        <v>371.57031999999998</v>
      </c>
      <c r="F37" s="61">
        <f>'Додаток 2'!J39</f>
        <v>0.43474000000000024</v>
      </c>
      <c r="G37" s="61">
        <f>'Додаток 2'!M39</f>
        <v>102.68578000000002</v>
      </c>
      <c r="H37" s="61">
        <f>'Додаток 2'!P39</f>
        <v>6.8957999999999977</v>
      </c>
    </row>
    <row r="38" spans="1:8" s="51" customFormat="1" ht="15.6" x14ac:dyDescent="0.3">
      <c r="A38" s="62">
        <v>2</v>
      </c>
      <c r="B38" s="67" t="s">
        <v>67</v>
      </c>
      <c r="C38" s="14" t="s">
        <v>27</v>
      </c>
      <c r="D38" s="139">
        <f>D39+D40+D41</f>
        <v>8839.9171400000014</v>
      </c>
      <c r="E38" s="139">
        <f>E39+E40+E41</f>
        <v>6820.4775599999994</v>
      </c>
      <c r="F38" s="139">
        <f t="shared" ref="F38:H38" si="7">F39+F40+F41</f>
        <v>7.9799199999999999</v>
      </c>
      <c r="G38" s="139">
        <f t="shared" si="7"/>
        <v>1884.8816199999997</v>
      </c>
      <c r="H38" s="139">
        <f t="shared" si="7"/>
        <v>126.57804</v>
      </c>
    </row>
    <row r="39" spans="1:8" s="51" customFormat="1" ht="15.6" x14ac:dyDescent="0.3">
      <c r="A39" s="62" t="s">
        <v>68</v>
      </c>
      <c r="B39" s="16" t="s">
        <v>63</v>
      </c>
      <c r="C39" s="14" t="s">
        <v>27</v>
      </c>
      <c r="D39" s="61">
        <f>E39+F39+G39+H39</f>
        <v>6963.2003700000005</v>
      </c>
      <c r="E39" s="61">
        <f>'Додаток 2'!G41</f>
        <v>5372.4883499999996</v>
      </c>
      <c r="F39" s="61">
        <f>'Додаток 2'!J41</f>
        <v>6.2857799999999999</v>
      </c>
      <c r="G39" s="61">
        <f>'Додаток 2'!M41</f>
        <v>1484.72075</v>
      </c>
      <c r="H39" s="61">
        <f>'Додаток 2'!P41</f>
        <v>99.705489999999998</v>
      </c>
    </row>
    <row r="40" spans="1:8" s="51" customFormat="1" ht="26.4" x14ac:dyDescent="0.3">
      <c r="A40" s="62" t="s">
        <v>69</v>
      </c>
      <c r="B40" s="65" t="s">
        <v>55</v>
      </c>
      <c r="C40" s="14" t="s">
        <v>27</v>
      </c>
      <c r="D40" s="61">
        <f t="shared" ref="D40:D41" si="8">E40+F40+G40+H40</f>
        <v>1531.9040799999998</v>
      </c>
      <c r="E40" s="61">
        <f>'Додаток 2'!G42</f>
        <v>1181.9474399999999</v>
      </c>
      <c r="F40" s="61">
        <f>'Додаток 2'!J42</f>
        <v>1.38287</v>
      </c>
      <c r="G40" s="61">
        <f>'Додаток 2'!M42</f>
        <v>326.63855999999998</v>
      </c>
      <c r="H40" s="61">
        <f>'Додаток 2'!P42</f>
        <v>21.935210000000001</v>
      </c>
    </row>
    <row r="41" spans="1:8" s="51" customFormat="1" ht="15.6" x14ac:dyDescent="0.3">
      <c r="A41" s="62" t="s">
        <v>70</v>
      </c>
      <c r="B41" s="17" t="s">
        <v>66</v>
      </c>
      <c r="C41" s="14" t="s">
        <v>27</v>
      </c>
      <c r="D41" s="61">
        <f t="shared" si="8"/>
        <v>344.81268999999975</v>
      </c>
      <c r="E41" s="61">
        <f>'Додаток 2'!G43</f>
        <v>266.04176999999981</v>
      </c>
      <c r="F41" s="61">
        <f>'Додаток 2'!J43</f>
        <v>0.31126999999999994</v>
      </c>
      <c r="G41" s="61">
        <f>'Додаток 2'!M43</f>
        <v>73.522309999999948</v>
      </c>
      <c r="H41" s="61">
        <f>'Додаток 2'!P43</f>
        <v>4.9373400000000025</v>
      </c>
    </row>
    <row r="42" spans="1:8" s="51" customFormat="1" ht="15.6" x14ac:dyDescent="0.3">
      <c r="A42" s="62" t="s">
        <v>71</v>
      </c>
      <c r="B42" s="66" t="s">
        <v>72</v>
      </c>
      <c r="C42" s="14" t="s">
        <v>27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</row>
    <row r="43" spans="1:8" s="51" customFormat="1" ht="15.6" x14ac:dyDescent="0.3">
      <c r="A43" s="62" t="s">
        <v>20</v>
      </c>
      <c r="B43" s="66" t="s">
        <v>63</v>
      </c>
      <c r="C43" s="14" t="s">
        <v>27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</row>
    <row r="44" spans="1:8" s="51" customFormat="1" ht="26.4" x14ac:dyDescent="0.3">
      <c r="A44" s="62" t="s">
        <v>73</v>
      </c>
      <c r="B44" s="65" t="s">
        <v>55</v>
      </c>
      <c r="C44" s="14" t="s">
        <v>27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</row>
    <row r="45" spans="1:8" s="51" customFormat="1" ht="15.6" x14ac:dyDescent="0.3">
      <c r="A45" s="62" t="s">
        <v>74</v>
      </c>
      <c r="B45" s="66" t="s">
        <v>66</v>
      </c>
      <c r="C45" s="14" t="s">
        <v>27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</row>
    <row r="46" spans="1:8" s="51" customFormat="1" ht="15.6" x14ac:dyDescent="0.3">
      <c r="A46" s="62" t="s">
        <v>24</v>
      </c>
      <c r="B46" s="65" t="s">
        <v>75</v>
      </c>
      <c r="C46" s="14" t="s">
        <v>27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</row>
    <row r="47" spans="1:8" s="51" customFormat="1" ht="15.6" x14ac:dyDescent="0.3">
      <c r="A47" s="62" t="s">
        <v>76</v>
      </c>
      <c r="B47" s="16" t="s">
        <v>77</v>
      </c>
      <c r="C47" s="14" t="s">
        <v>27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</row>
    <row r="48" spans="1:8" s="51" customFormat="1" ht="15.6" x14ac:dyDescent="0.3">
      <c r="A48" s="62" t="s">
        <v>78</v>
      </c>
      <c r="B48" s="68" t="s">
        <v>79</v>
      </c>
      <c r="C48" s="18" t="s">
        <v>27</v>
      </c>
      <c r="D48" s="139">
        <f>D47+D46+D42+D38+D17</f>
        <v>96522.465920000002</v>
      </c>
      <c r="E48" s="139">
        <f t="shared" ref="E48:H48" si="9">E47+E46+E42+E38+E17</f>
        <v>67252.460090000008</v>
      </c>
      <c r="F48" s="139">
        <f t="shared" si="9"/>
        <v>115.66194999999999</v>
      </c>
      <c r="G48" s="139">
        <f t="shared" si="9"/>
        <v>27319.706129999999</v>
      </c>
      <c r="H48" s="139">
        <f t="shared" si="9"/>
        <v>1834.6377500000003</v>
      </c>
    </row>
    <row r="49" spans="1:8" s="51" customFormat="1" ht="15.6" x14ac:dyDescent="0.3">
      <c r="A49" s="62" t="s">
        <v>80</v>
      </c>
      <c r="B49" s="68" t="s">
        <v>81</v>
      </c>
      <c r="C49" s="18" t="s">
        <v>27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</row>
    <row r="50" spans="1:8" s="51" customFormat="1" ht="4.8" customHeight="1" x14ac:dyDescent="0.3">
      <c r="A50" s="62"/>
      <c r="B50" s="68"/>
      <c r="C50" s="18"/>
      <c r="D50" s="139"/>
      <c r="E50" s="143"/>
      <c r="F50" s="139"/>
      <c r="G50" s="139"/>
      <c r="H50" s="139"/>
    </row>
    <row r="51" spans="1:8" s="51" customFormat="1" ht="15.6" x14ac:dyDescent="0.3">
      <c r="A51" s="62" t="s">
        <v>82</v>
      </c>
      <c r="B51" s="69" t="s">
        <v>83</v>
      </c>
      <c r="C51" s="18" t="s">
        <v>27</v>
      </c>
      <c r="D51" s="139">
        <f>D52+D53+D54+D55+D56</f>
        <v>2354.2064858536587</v>
      </c>
      <c r="E51" s="139">
        <f>E52+E53+E54+E55+E56</f>
        <v>1640.3039046341462</v>
      </c>
      <c r="F51" s="139">
        <f>F52+F53+F54+F55+F56</f>
        <v>2.8210231707317068</v>
      </c>
      <c r="G51" s="139">
        <f t="shared" ref="G51" si="10">G52+G53+G54+G55+G56</f>
        <v>666.33429585365855</v>
      </c>
      <c r="H51" s="139">
        <f>H52+H53+H54+H55+H56</f>
        <v>44.747262195121955</v>
      </c>
    </row>
    <row r="52" spans="1:8" s="51" customFormat="1" ht="15.6" x14ac:dyDescent="0.3">
      <c r="A52" s="62" t="s">
        <v>84</v>
      </c>
      <c r="B52" s="16" t="s">
        <v>85</v>
      </c>
      <c r="C52" s="14" t="s">
        <v>27</v>
      </c>
      <c r="D52" s="144">
        <f>E52+F52+G52+H52</f>
        <v>423.75716745365838</v>
      </c>
      <c r="E52" s="144">
        <f>'Додаток 2'!G54</f>
        <v>295.2547028341462</v>
      </c>
      <c r="F52" s="144">
        <f>'Додаток 2'!J54</f>
        <v>0.50778417073170701</v>
      </c>
      <c r="G52" s="144">
        <f>'Додаток 2'!M54</f>
        <v>119.94017325365849</v>
      </c>
      <c r="H52" s="144">
        <f>'Додаток 2'!P54</f>
        <v>8.0545071951219498</v>
      </c>
    </row>
    <row r="53" spans="1:8" s="51" customFormat="1" ht="15.6" x14ac:dyDescent="0.3">
      <c r="A53" s="62" t="s">
        <v>86</v>
      </c>
      <c r="B53" s="16" t="s">
        <v>87</v>
      </c>
      <c r="C53" s="14" t="s">
        <v>27</v>
      </c>
      <c r="D53" s="144">
        <f t="shared" ref="D53:D56" si="11">E53+F53+G53+H53</f>
        <v>0</v>
      </c>
      <c r="E53" s="144">
        <v>0</v>
      </c>
      <c r="F53" s="144">
        <v>0</v>
      </c>
      <c r="G53" s="144">
        <v>0</v>
      </c>
      <c r="H53" s="144">
        <v>0</v>
      </c>
    </row>
    <row r="54" spans="1:8" s="51" customFormat="1" ht="15.6" x14ac:dyDescent="0.3">
      <c r="A54" s="62" t="s">
        <v>88</v>
      </c>
      <c r="B54" s="16" t="s">
        <v>89</v>
      </c>
      <c r="C54" s="14" t="s">
        <v>27</v>
      </c>
      <c r="D54" s="144">
        <f t="shared" si="11"/>
        <v>0</v>
      </c>
      <c r="E54" s="144">
        <v>0</v>
      </c>
      <c r="F54" s="144">
        <v>0</v>
      </c>
      <c r="G54" s="144">
        <v>0</v>
      </c>
      <c r="H54" s="144">
        <v>0</v>
      </c>
    </row>
    <row r="55" spans="1:8" s="51" customFormat="1" ht="15.6" x14ac:dyDescent="0.3">
      <c r="A55" s="62" t="s">
        <v>90</v>
      </c>
      <c r="B55" s="16" t="s">
        <v>91</v>
      </c>
      <c r="C55" s="14" t="s">
        <v>27</v>
      </c>
      <c r="D55" s="144">
        <f t="shared" si="11"/>
        <v>0</v>
      </c>
      <c r="E55" s="144">
        <v>0</v>
      </c>
      <c r="F55" s="144">
        <v>0</v>
      </c>
      <c r="G55" s="144">
        <v>0</v>
      </c>
      <c r="H55" s="144">
        <v>0</v>
      </c>
    </row>
    <row r="56" spans="1:8" s="51" customFormat="1" ht="15.6" x14ac:dyDescent="0.3">
      <c r="A56" s="62" t="s">
        <v>92</v>
      </c>
      <c r="B56" s="16" t="s">
        <v>93</v>
      </c>
      <c r="C56" s="14" t="s">
        <v>27</v>
      </c>
      <c r="D56" s="144">
        <f t="shared" si="11"/>
        <v>1930.4493184000003</v>
      </c>
      <c r="E56" s="144">
        <f>'Додаток 2'!G58</f>
        <v>1345.0492018</v>
      </c>
      <c r="F56" s="144">
        <f>'Додаток 2'!J58</f>
        <v>2.3132389999999998</v>
      </c>
      <c r="G56" s="144">
        <f>'Додаток 2'!M58</f>
        <v>546.39412260000006</v>
      </c>
      <c r="H56" s="144">
        <f>'Додаток 2'!P58</f>
        <v>36.692755000000005</v>
      </c>
    </row>
    <row r="57" spans="1:8" s="51" customFormat="1" ht="27" thickBot="1" x14ac:dyDescent="0.35">
      <c r="A57" s="70" t="s">
        <v>94</v>
      </c>
      <c r="B57" s="71" t="s">
        <v>95</v>
      </c>
      <c r="C57" s="19" t="s">
        <v>27</v>
      </c>
      <c r="D57" s="151">
        <f>D51+D49+D48</f>
        <v>98876.672405853664</v>
      </c>
      <c r="E57" s="151">
        <f>E51+E49+E48</f>
        <v>68892.763994634151</v>
      </c>
      <c r="F57" s="151">
        <f>F51+F49+F48</f>
        <v>118.4829731707317</v>
      </c>
      <c r="G57" s="151">
        <f>G51+G49+G48</f>
        <v>27986.040425853658</v>
      </c>
      <c r="H57" s="151">
        <f>H51+H49+H48</f>
        <v>1879.3850121951223</v>
      </c>
    </row>
    <row r="58" spans="1:8" s="51" customFormat="1" ht="16.2" thickBot="1" x14ac:dyDescent="0.35">
      <c r="A58" s="72"/>
      <c r="B58" s="73"/>
      <c r="C58" s="20"/>
      <c r="D58" s="21"/>
      <c r="E58" s="21"/>
      <c r="F58" s="22"/>
      <c r="G58" s="21"/>
      <c r="H58" s="21"/>
    </row>
    <row r="59" spans="1:8" s="51" customFormat="1" ht="31.2" x14ac:dyDescent="0.3">
      <c r="A59" s="251" t="s">
        <v>96</v>
      </c>
      <c r="B59" s="252" t="s">
        <v>97</v>
      </c>
      <c r="C59" s="13" t="s">
        <v>98</v>
      </c>
      <c r="D59" s="294">
        <f>D57/D15</f>
        <v>2491.1565728688365</v>
      </c>
      <c r="E59" s="294">
        <f>E57/E15</f>
        <v>2249.6461005092065</v>
      </c>
      <c r="F59" s="294">
        <f>F57/F15+0.03</f>
        <v>3306.8391870145606</v>
      </c>
      <c r="G59" s="294">
        <f>G57/G15</f>
        <v>3306.8367416673304</v>
      </c>
      <c r="H59" s="294">
        <f>H57/H15</f>
        <v>3306.8377380780676</v>
      </c>
    </row>
    <row r="60" spans="1:8" s="51" customFormat="1" ht="31.8" thickBot="1" x14ac:dyDescent="0.35">
      <c r="A60" s="253" t="s">
        <v>99</v>
      </c>
      <c r="B60" s="254" t="s">
        <v>100</v>
      </c>
      <c r="C60" s="14" t="s">
        <v>98</v>
      </c>
      <c r="D60" s="139">
        <f>D59*1.2</f>
        <v>2989.3878874426036</v>
      </c>
      <c r="E60" s="139">
        <f>E59*1.2</f>
        <v>2699.5753206110476</v>
      </c>
      <c r="F60" s="139">
        <f>F59*1.2</f>
        <v>3968.2070244174724</v>
      </c>
      <c r="G60" s="139">
        <f>G59*1.2+0.01</f>
        <v>3968.2140900007967</v>
      </c>
      <c r="H60" s="139">
        <f>H59*1.2</f>
        <v>3968.2052856936807</v>
      </c>
    </row>
    <row r="61" spans="1:8" s="51" customFormat="1" ht="16.2" thickBot="1" x14ac:dyDescent="0.35">
      <c r="A61" s="255"/>
      <c r="B61" s="349" t="s">
        <v>101</v>
      </c>
      <c r="C61" s="348"/>
      <c r="D61" s="348"/>
      <c r="E61" s="348"/>
      <c r="F61" s="348"/>
      <c r="G61" s="348"/>
      <c r="H61" s="348"/>
    </row>
    <row r="62" spans="1:8" s="51" customFormat="1" ht="16.8" customHeight="1" x14ac:dyDescent="0.3">
      <c r="A62" s="74">
        <v>1</v>
      </c>
      <c r="B62" s="50" t="s">
        <v>26</v>
      </c>
      <c r="C62" s="257" t="s">
        <v>27</v>
      </c>
      <c r="D62" s="183">
        <f>D63+D69+D70+D74</f>
        <v>45186.137834047084</v>
      </c>
      <c r="E62" s="183">
        <f>E63+E69+E70+E74</f>
        <v>34455.267258491869</v>
      </c>
      <c r="F62" s="183">
        <f t="shared" ref="F62:H62" si="12">F63+F69+F70+F74</f>
        <v>42.403592223314348</v>
      </c>
      <c r="G62" s="183">
        <f t="shared" si="12"/>
        <v>10015.858295996577</v>
      </c>
      <c r="H62" s="183">
        <f t="shared" si="12"/>
        <v>672.60868733533107</v>
      </c>
    </row>
    <row r="63" spans="1:8" s="51" customFormat="1" ht="16.8" customHeight="1" x14ac:dyDescent="0.3">
      <c r="A63" s="74" t="s">
        <v>28</v>
      </c>
      <c r="B63" s="66" t="s">
        <v>29</v>
      </c>
      <c r="C63" s="14" t="s">
        <v>27</v>
      </c>
      <c r="D63" s="144">
        <f>D64+D65+D66+D67</f>
        <v>25874.008454047085</v>
      </c>
      <c r="E63" s="144">
        <f>E64+E65+E66+E67</f>
        <v>19554.907568491864</v>
      </c>
      <c r="F63" s="144">
        <f t="shared" ref="F63:H63" si="13">F64+F65+F66+F67</f>
        <v>24.970252223314347</v>
      </c>
      <c r="G63" s="144">
        <f t="shared" si="13"/>
        <v>5898.0507259965771</v>
      </c>
      <c r="H63" s="144">
        <f t="shared" si="13"/>
        <v>396.07990733533114</v>
      </c>
    </row>
    <row r="64" spans="1:8" s="51" customFormat="1" ht="16.8" customHeight="1" x14ac:dyDescent="0.3">
      <c r="A64" s="74" t="s">
        <v>30</v>
      </c>
      <c r="B64" s="66" t="s">
        <v>39</v>
      </c>
      <c r="C64" s="14" t="s">
        <v>27</v>
      </c>
      <c r="D64" s="144">
        <f>E64+F64+G64+H64</f>
        <v>18842.29782</v>
      </c>
      <c r="E64" s="144">
        <f>'Додаток 2'!G72</f>
        <v>14537.859060000001</v>
      </c>
      <c r="F64" s="144">
        <f>'Додаток 2'!J72</f>
        <v>17.009209999999999</v>
      </c>
      <c r="G64" s="144">
        <f>'Додаток 2'!M72</f>
        <v>4017.62824</v>
      </c>
      <c r="H64" s="144">
        <f>'Додаток 2'!Q72</f>
        <v>269.80131</v>
      </c>
    </row>
    <row r="65" spans="1:8" s="51" customFormat="1" ht="28.2" customHeight="1" x14ac:dyDescent="0.3">
      <c r="A65" s="74" t="s">
        <v>38</v>
      </c>
      <c r="B65" s="66" t="s">
        <v>102</v>
      </c>
      <c r="C65" s="14" t="s">
        <v>27</v>
      </c>
      <c r="D65" s="144">
        <f t="shared" ref="D65:D85" si="14">E65+F65+G65+H65</f>
        <v>0</v>
      </c>
      <c r="E65" s="181">
        <v>0</v>
      </c>
      <c r="F65" s="181">
        <v>0</v>
      </c>
      <c r="G65" s="181">
        <v>0</v>
      </c>
      <c r="H65" s="181">
        <v>0</v>
      </c>
    </row>
    <row r="66" spans="1:8" s="51" customFormat="1" ht="28.2" customHeight="1" x14ac:dyDescent="0.3">
      <c r="A66" s="74" t="s">
        <v>40</v>
      </c>
      <c r="B66" s="66" t="s">
        <v>103</v>
      </c>
      <c r="C66" s="14" t="s">
        <v>27</v>
      </c>
      <c r="D66" s="144">
        <f t="shared" si="14"/>
        <v>7.5213600000000005</v>
      </c>
      <c r="E66" s="144">
        <f>'Додаток 2'!G74</f>
        <v>5.80314</v>
      </c>
      <c r="F66" s="144">
        <f>'Додаток 2'!J74</f>
        <v>6.79E-3</v>
      </c>
      <c r="G66" s="144">
        <f>'Додаток 2'!M74</f>
        <v>1.6037300000000001</v>
      </c>
      <c r="H66" s="144">
        <f>'Додаток 2'!P74</f>
        <v>0.1077</v>
      </c>
    </row>
    <row r="67" spans="1:8" s="51" customFormat="1" ht="18" customHeight="1" x14ac:dyDescent="0.3">
      <c r="A67" s="74" t="s">
        <v>46</v>
      </c>
      <c r="B67" s="66" t="s">
        <v>49</v>
      </c>
      <c r="C67" s="14" t="s">
        <v>27</v>
      </c>
      <c r="D67" s="144">
        <f t="shared" si="14"/>
        <v>7024.1892740470876</v>
      </c>
      <c r="E67" s="144">
        <f>'[1]Д 3'!$H$17</f>
        <v>5011.2453684918655</v>
      </c>
      <c r="F67" s="144">
        <f>'[1]Д 3'!$I$17</f>
        <v>7.9542522233143504</v>
      </c>
      <c r="G67" s="144">
        <f>'[1]Д 3'!$J$17</f>
        <v>1878.8187559965772</v>
      </c>
      <c r="H67" s="144">
        <f>'[1]Д 3'!$K$17</f>
        <v>126.17089733533111</v>
      </c>
    </row>
    <row r="68" spans="1:8" s="51" customFormat="1" ht="28.8" customHeight="1" x14ac:dyDescent="0.3">
      <c r="A68" s="74" t="s">
        <v>104</v>
      </c>
      <c r="B68" s="256" t="s">
        <v>105</v>
      </c>
      <c r="C68" s="14" t="s">
        <v>27</v>
      </c>
      <c r="D68" s="144">
        <f t="shared" si="14"/>
        <v>5458.5466242261882</v>
      </c>
      <c r="E68" s="144">
        <f>'[1]Д 3'!$H$18</f>
        <v>3803.2667879436426</v>
      </c>
      <c r="F68" s="144">
        <f>'[1]Д 3'!$I$18</f>
        <v>6.5409241070362496</v>
      </c>
      <c r="G68" s="144">
        <f>'[1]Д 3'!$J$18</f>
        <v>1544.9863228914865</v>
      </c>
      <c r="H68" s="144">
        <f>'[1]Д 3'!$K$18</f>
        <v>103.75258928402329</v>
      </c>
    </row>
    <row r="69" spans="1:8" s="51" customFormat="1" ht="19.2" customHeight="1" x14ac:dyDescent="0.3">
      <c r="A69" s="74" t="s">
        <v>50</v>
      </c>
      <c r="B69" s="75" t="s">
        <v>51</v>
      </c>
      <c r="C69" s="14" t="s">
        <v>27</v>
      </c>
      <c r="D69" s="144">
        <f t="shared" si="14"/>
        <v>14300.532879999999</v>
      </c>
      <c r="E69" s="144">
        <f>'Додаток 2'!G77</f>
        <v>11033.64003</v>
      </c>
      <c r="F69" s="144">
        <f>'Додаток 2'!J77</f>
        <v>12.9093</v>
      </c>
      <c r="G69" s="144">
        <f>'Додаток 2'!M77</f>
        <v>3049.2154</v>
      </c>
      <c r="H69" s="144">
        <f>'Додаток 2'!P77</f>
        <v>204.76814999999999</v>
      </c>
    </row>
    <row r="70" spans="1:8" s="51" customFormat="1" ht="18" customHeight="1" x14ac:dyDescent="0.3">
      <c r="A70" s="74" t="s">
        <v>52</v>
      </c>
      <c r="B70" s="66" t="s">
        <v>53</v>
      </c>
      <c r="C70" s="14" t="s">
        <v>27</v>
      </c>
      <c r="D70" s="144">
        <f>E70+F70+G70+H70</f>
        <v>3423.48549</v>
      </c>
      <c r="E70" s="144">
        <f>E71+E72+E73</f>
        <v>2641.4055200000003</v>
      </c>
      <c r="F70" s="144">
        <f t="shared" ref="F70:H70" si="15">F71+F72+F73</f>
        <v>3.09043</v>
      </c>
      <c r="G70" s="144">
        <f t="shared" si="15"/>
        <v>729.96893999999998</v>
      </c>
      <c r="H70" s="144">
        <f t="shared" si="15"/>
        <v>49.020599999999995</v>
      </c>
    </row>
    <row r="71" spans="1:8" s="51" customFormat="1" ht="26.4" x14ac:dyDescent="0.3">
      <c r="A71" s="74" t="s">
        <v>54</v>
      </c>
      <c r="B71" s="66" t="s">
        <v>55</v>
      </c>
      <c r="C71" s="14" t="s">
        <v>27</v>
      </c>
      <c r="D71" s="144">
        <f>E71+F71+G71+H71</f>
        <v>3054.6509200000005</v>
      </c>
      <c r="E71" s="144">
        <f>'Додаток 2'!G79</f>
        <v>2356.8295600000001</v>
      </c>
      <c r="F71" s="144">
        <f>'Додаток 2'!J79</f>
        <v>2.7574800000000002</v>
      </c>
      <c r="G71" s="144">
        <f>'Додаток 2'!M79</f>
        <v>651.32458999999994</v>
      </c>
      <c r="H71" s="144">
        <f>'Додаток 2'!P79</f>
        <v>43.739289999999997</v>
      </c>
    </row>
    <row r="72" spans="1:8" s="51" customFormat="1" ht="17.399999999999999" customHeight="1" x14ac:dyDescent="0.3">
      <c r="A72" s="74" t="s">
        <v>56</v>
      </c>
      <c r="B72" s="66" t="s">
        <v>106</v>
      </c>
      <c r="C72" s="14" t="s">
        <v>27</v>
      </c>
      <c r="D72" s="144">
        <f t="shared" si="14"/>
        <v>0</v>
      </c>
      <c r="E72" s="144">
        <f>'Додаток 2'!G80</f>
        <v>0</v>
      </c>
      <c r="F72" s="144">
        <f>'Додаток 2'!J80</f>
        <v>0</v>
      </c>
      <c r="G72" s="144">
        <f>'Додаток 2'!M80</f>
        <v>0</v>
      </c>
      <c r="H72" s="144">
        <f>'Додаток 2'!P80</f>
        <v>0</v>
      </c>
    </row>
    <row r="73" spans="1:8" s="51" customFormat="1" ht="17.399999999999999" customHeight="1" x14ac:dyDescent="0.3">
      <c r="A73" s="74" t="s">
        <v>58</v>
      </c>
      <c r="B73" s="76" t="s">
        <v>107</v>
      </c>
      <c r="C73" s="14" t="s">
        <v>27</v>
      </c>
      <c r="D73" s="144">
        <f t="shared" si="14"/>
        <v>368.83457000000004</v>
      </c>
      <c r="E73" s="144">
        <f>'Додаток 2'!G81</f>
        <v>284.57596000000001</v>
      </c>
      <c r="F73" s="144">
        <f>'Додаток 2'!J81</f>
        <v>0.33295000000000002</v>
      </c>
      <c r="G73" s="144">
        <f>'Додаток 2'!M81</f>
        <v>78.644350000000003</v>
      </c>
      <c r="H73" s="144">
        <f>'Додаток 2'!P81</f>
        <v>5.2813100000000004</v>
      </c>
    </row>
    <row r="74" spans="1:8" s="51" customFormat="1" ht="18" customHeight="1" x14ac:dyDescent="0.3">
      <c r="A74" s="74" t="s">
        <v>60</v>
      </c>
      <c r="B74" s="64" t="s">
        <v>61</v>
      </c>
      <c r="C74" s="14" t="s">
        <v>27</v>
      </c>
      <c r="D74" s="144">
        <f t="shared" si="14"/>
        <v>1588.1110100000001</v>
      </c>
      <c r="E74" s="144">
        <f>E75+E76+E77</f>
        <v>1225.31414</v>
      </c>
      <c r="F74" s="144">
        <f t="shared" ref="F74:H74" si="16">F75+F76+F77</f>
        <v>1.4336100000000001</v>
      </c>
      <c r="G74" s="144">
        <f t="shared" si="16"/>
        <v>338.62323000000004</v>
      </c>
      <c r="H74" s="144">
        <f t="shared" si="16"/>
        <v>22.740029999999997</v>
      </c>
    </row>
    <row r="75" spans="1:8" s="51" customFormat="1" ht="18" customHeight="1" x14ac:dyDescent="0.3">
      <c r="A75" s="74" t="s">
        <v>62</v>
      </c>
      <c r="B75" s="66" t="s">
        <v>63</v>
      </c>
      <c r="C75" s="14" t="s">
        <v>27</v>
      </c>
      <c r="D75" s="144">
        <f t="shared" si="14"/>
        <v>1146.40444</v>
      </c>
      <c r="E75" s="144">
        <f>'Додаток 2'!G83</f>
        <v>884.51346000000001</v>
      </c>
      <c r="F75" s="144">
        <f>'Додаток 2'!J83</f>
        <v>1.03488</v>
      </c>
      <c r="G75" s="144">
        <f>'Додаток 2'!M83</f>
        <v>244.44083000000001</v>
      </c>
      <c r="H75" s="144">
        <f>'Додаток 2'!P83</f>
        <v>16.41527</v>
      </c>
    </row>
    <row r="76" spans="1:8" s="51" customFormat="1" ht="32.4" customHeight="1" x14ac:dyDescent="0.3">
      <c r="A76" s="74" t="s">
        <v>64</v>
      </c>
      <c r="B76" s="66" t="s">
        <v>55</v>
      </c>
      <c r="C76" s="14" t="s">
        <v>27</v>
      </c>
      <c r="D76" s="144">
        <f t="shared" si="14"/>
        <v>223.50720000000001</v>
      </c>
      <c r="E76" s="144">
        <f>'Додаток 2'!G84</f>
        <v>172.44798</v>
      </c>
      <c r="F76" s="144">
        <f>'Додаток 2'!J84</f>
        <v>0.20175999999999999</v>
      </c>
      <c r="G76" s="144">
        <f>'Додаток 2'!M84</f>
        <v>47.657080000000001</v>
      </c>
      <c r="H76" s="144">
        <f>'Додаток 2'!P84</f>
        <v>3.20038</v>
      </c>
    </row>
    <row r="77" spans="1:8" s="51" customFormat="1" ht="18.600000000000001" customHeight="1" x14ac:dyDescent="0.3">
      <c r="A77" s="74" t="s">
        <v>65</v>
      </c>
      <c r="B77" s="66" t="s">
        <v>66</v>
      </c>
      <c r="C77" s="14" t="s">
        <v>27</v>
      </c>
      <c r="D77" s="144">
        <f t="shared" si="14"/>
        <v>218.19936999999999</v>
      </c>
      <c r="E77" s="144">
        <f>'Додаток 2'!G85</f>
        <v>168.3527</v>
      </c>
      <c r="F77" s="144">
        <f>'Додаток 2'!J85</f>
        <v>0.19697000000000001</v>
      </c>
      <c r="G77" s="144">
        <f>'Додаток 2'!M85</f>
        <v>46.525320000000001</v>
      </c>
      <c r="H77" s="144">
        <f>'Додаток 2'!P85</f>
        <v>3.1243799999999999</v>
      </c>
    </row>
    <row r="78" spans="1:8" s="51" customFormat="1" ht="18.600000000000001" customHeight="1" x14ac:dyDescent="0.3">
      <c r="A78" s="74">
        <v>2</v>
      </c>
      <c r="B78" s="77" t="s">
        <v>67</v>
      </c>
      <c r="C78" s="18" t="s">
        <v>27</v>
      </c>
      <c r="D78" s="186">
        <f t="shared" si="14"/>
        <v>4005.2281600000006</v>
      </c>
      <c r="E78" s="186">
        <f>E79+E80+E81</f>
        <v>3090.2516800000003</v>
      </c>
      <c r="F78" s="186">
        <f t="shared" ref="F78:H78" si="17">F79+F80+F81</f>
        <v>3.6155799999999996</v>
      </c>
      <c r="G78" s="186">
        <f t="shared" si="17"/>
        <v>854.01037000000008</v>
      </c>
      <c r="H78" s="186">
        <f t="shared" si="17"/>
        <v>57.350529999999992</v>
      </c>
    </row>
    <row r="79" spans="1:8" s="51" customFormat="1" ht="18.600000000000001" customHeight="1" x14ac:dyDescent="0.3">
      <c r="A79" s="74" t="s">
        <v>68</v>
      </c>
      <c r="B79" s="16" t="s">
        <v>63</v>
      </c>
      <c r="C79" s="14" t="s">
        <v>27</v>
      </c>
      <c r="D79" s="144">
        <f t="shared" si="14"/>
        <v>3154.9171600000004</v>
      </c>
      <c r="E79" s="144">
        <f>'Додаток 2'!G87</f>
        <v>2434.1904300000001</v>
      </c>
      <c r="F79" s="144">
        <f>'Додаток 2'!J87</f>
        <v>2.8479899999999998</v>
      </c>
      <c r="G79" s="144">
        <f>'Додаток 2'!M87</f>
        <v>672.70374000000004</v>
      </c>
      <c r="H79" s="144">
        <f>'Додаток 2'!P87</f>
        <v>45.174999999999997</v>
      </c>
    </row>
    <row r="80" spans="1:8" s="51" customFormat="1" ht="33" customHeight="1" x14ac:dyDescent="0.3">
      <c r="A80" s="74" t="s">
        <v>69</v>
      </c>
      <c r="B80" s="16" t="s">
        <v>55</v>
      </c>
      <c r="C80" s="14" t="s">
        <v>27</v>
      </c>
      <c r="D80" s="144">
        <f t="shared" si="14"/>
        <v>694.08177000000001</v>
      </c>
      <c r="E80" s="144">
        <f>'Додаток 2'!G88</f>
        <v>535.52188999999998</v>
      </c>
      <c r="F80" s="144">
        <f>'Додаток 2'!J88</f>
        <v>0.62656000000000001</v>
      </c>
      <c r="G80" s="144">
        <f>'Додаток 2'!M88</f>
        <v>147.99482</v>
      </c>
      <c r="H80" s="144">
        <f>'Додаток 2'!P88</f>
        <v>9.9384999999999994</v>
      </c>
    </row>
    <row r="81" spans="1:8" s="51" customFormat="1" ht="16.2" customHeight="1" x14ac:dyDescent="0.3">
      <c r="A81" s="74" t="s">
        <v>70</v>
      </c>
      <c r="B81" s="17" t="s">
        <v>66</v>
      </c>
      <c r="C81" s="14" t="s">
        <v>27</v>
      </c>
      <c r="D81" s="144">
        <f t="shared" si="14"/>
        <v>156.22923</v>
      </c>
      <c r="E81" s="144">
        <f>'Додаток 2'!G89</f>
        <v>120.53936</v>
      </c>
      <c r="F81" s="144">
        <f>'Додаток 2'!J89</f>
        <v>0.14102999999999999</v>
      </c>
      <c r="G81" s="144">
        <f>'Додаток 2'!M89</f>
        <v>33.311810000000001</v>
      </c>
      <c r="H81" s="144">
        <f>'Додаток 2'!P89</f>
        <v>2.2370299999999999</v>
      </c>
    </row>
    <row r="82" spans="1:8" s="51" customFormat="1" ht="16.2" customHeight="1" x14ac:dyDescent="0.3">
      <c r="A82" s="74" t="s">
        <v>71</v>
      </c>
      <c r="B82" s="78" t="s">
        <v>72</v>
      </c>
      <c r="C82" s="18" t="s">
        <v>27</v>
      </c>
      <c r="D82" s="144">
        <f t="shared" si="14"/>
        <v>0</v>
      </c>
      <c r="E82" s="186">
        <f t="shared" ref="E82:H82" si="18">E83+E84+E85</f>
        <v>0</v>
      </c>
      <c r="F82" s="186">
        <f t="shared" si="18"/>
        <v>0</v>
      </c>
      <c r="G82" s="186">
        <f t="shared" si="18"/>
        <v>0</v>
      </c>
      <c r="H82" s="186">
        <f t="shared" si="18"/>
        <v>0</v>
      </c>
    </row>
    <row r="83" spans="1:8" s="51" customFormat="1" ht="16.2" customHeight="1" x14ac:dyDescent="0.3">
      <c r="A83" s="74" t="s">
        <v>20</v>
      </c>
      <c r="B83" s="66" t="s">
        <v>63</v>
      </c>
      <c r="C83" s="14" t="s">
        <v>27</v>
      </c>
      <c r="D83" s="144">
        <f t="shared" si="14"/>
        <v>0</v>
      </c>
      <c r="E83" s="144">
        <v>0</v>
      </c>
      <c r="F83" s="144">
        <v>0</v>
      </c>
      <c r="G83" s="144">
        <v>0</v>
      </c>
      <c r="H83" s="144">
        <v>0</v>
      </c>
    </row>
    <row r="84" spans="1:8" s="51" customFormat="1" ht="25.2" customHeight="1" x14ac:dyDescent="0.3">
      <c r="A84" s="74" t="s">
        <v>73</v>
      </c>
      <c r="B84" s="16" t="s">
        <v>55</v>
      </c>
      <c r="C84" s="14" t="s">
        <v>27</v>
      </c>
      <c r="D84" s="144">
        <f t="shared" si="14"/>
        <v>0</v>
      </c>
      <c r="E84" s="144">
        <v>0</v>
      </c>
      <c r="F84" s="144">
        <v>0</v>
      </c>
      <c r="G84" s="144">
        <v>0</v>
      </c>
      <c r="H84" s="144">
        <v>0</v>
      </c>
    </row>
    <row r="85" spans="1:8" s="51" customFormat="1" ht="15.6" x14ac:dyDescent="0.3">
      <c r="A85" s="74" t="s">
        <v>74</v>
      </c>
      <c r="B85" s="79" t="s">
        <v>108</v>
      </c>
      <c r="C85" s="14" t="s">
        <v>27</v>
      </c>
      <c r="D85" s="144">
        <f t="shared" si="14"/>
        <v>0</v>
      </c>
      <c r="E85" s="144">
        <v>0</v>
      </c>
      <c r="F85" s="144">
        <v>0</v>
      </c>
      <c r="G85" s="144">
        <v>0</v>
      </c>
      <c r="H85" s="144">
        <v>0</v>
      </c>
    </row>
    <row r="86" spans="1:8" s="51" customFormat="1" ht="18" customHeight="1" x14ac:dyDescent="0.3">
      <c r="A86" s="74" t="s">
        <v>24</v>
      </c>
      <c r="B86" s="68" t="s">
        <v>109</v>
      </c>
      <c r="C86" s="18" t="s">
        <v>27</v>
      </c>
      <c r="D86" s="186">
        <v>0</v>
      </c>
      <c r="E86" s="186">
        <v>0</v>
      </c>
      <c r="F86" s="186">
        <v>0</v>
      </c>
      <c r="G86" s="186">
        <v>0</v>
      </c>
      <c r="H86" s="186">
        <v>0</v>
      </c>
    </row>
    <row r="87" spans="1:8" s="51" customFormat="1" ht="18" customHeight="1" x14ac:dyDescent="0.3">
      <c r="A87" s="74" t="s">
        <v>76</v>
      </c>
      <c r="B87" s="68" t="s">
        <v>77</v>
      </c>
      <c r="C87" s="18" t="s">
        <v>27</v>
      </c>
      <c r="D87" s="186">
        <v>0</v>
      </c>
      <c r="E87" s="186">
        <v>0</v>
      </c>
      <c r="F87" s="186">
        <v>0</v>
      </c>
      <c r="G87" s="186">
        <v>0</v>
      </c>
      <c r="H87" s="186">
        <v>0</v>
      </c>
    </row>
    <row r="88" spans="1:8" s="51" customFormat="1" ht="18" customHeight="1" x14ac:dyDescent="0.3">
      <c r="A88" s="74" t="s">
        <v>78</v>
      </c>
      <c r="B88" s="68" t="s">
        <v>110</v>
      </c>
      <c r="C88" s="14" t="s">
        <v>27</v>
      </c>
      <c r="D88" s="186">
        <f>D87+D86+D82+D78+D62</f>
        <v>49191.365994047082</v>
      </c>
      <c r="E88" s="186">
        <f>E87+E86+E82+E78+E62</f>
        <v>37545.51893849187</v>
      </c>
      <c r="F88" s="186">
        <f t="shared" ref="F88:H88" si="19">F87+F86+F82+F78+F62</f>
        <v>46.019172223314349</v>
      </c>
      <c r="G88" s="186">
        <f t="shared" si="19"/>
        <v>10869.868665996577</v>
      </c>
      <c r="H88" s="186">
        <f t="shared" si="19"/>
        <v>729.959217335331</v>
      </c>
    </row>
    <row r="89" spans="1:8" s="51" customFormat="1" ht="18" customHeight="1" x14ac:dyDescent="0.3">
      <c r="A89" s="74"/>
      <c r="B89" s="68"/>
      <c r="C89" s="14"/>
      <c r="D89" s="186"/>
      <c r="E89" s="186"/>
      <c r="F89" s="186"/>
      <c r="G89" s="186"/>
      <c r="H89" s="186"/>
    </row>
    <row r="90" spans="1:8" s="51" customFormat="1" ht="18" customHeight="1" x14ac:dyDescent="0.3">
      <c r="A90" s="74" t="s">
        <v>80</v>
      </c>
      <c r="B90" s="68" t="s">
        <v>111</v>
      </c>
      <c r="C90" s="14" t="s">
        <v>27</v>
      </c>
      <c r="D90" s="144">
        <v>0</v>
      </c>
      <c r="E90" s="144">
        <v>0</v>
      </c>
      <c r="F90" s="144">
        <v>0</v>
      </c>
      <c r="G90" s="144">
        <v>0</v>
      </c>
      <c r="H90" s="144">
        <v>0</v>
      </c>
    </row>
    <row r="91" spans="1:8" s="51" customFormat="1" ht="16.2" customHeight="1" x14ac:dyDescent="0.3">
      <c r="A91" s="74" t="s">
        <v>82</v>
      </c>
      <c r="B91" s="68" t="s">
        <v>112</v>
      </c>
      <c r="C91" s="18" t="s">
        <v>27</v>
      </c>
      <c r="D91" s="186">
        <f>D92+D93+D94+D95+D96</f>
        <v>1199.7894144889533</v>
      </c>
      <c r="E91" s="186">
        <f>E92+E93+E94+E95+E96</f>
        <v>915.74436435346013</v>
      </c>
      <c r="F91" s="186">
        <f t="shared" ref="F91:H91" si="20">F92+F93+F94+F95+F96</f>
        <v>1.1224188347149842</v>
      </c>
      <c r="G91" s="186">
        <f t="shared" si="20"/>
        <v>265.11874795113602</v>
      </c>
      <c r="H91" s="186">
        <f t="shared" si="20"/>
        <v>17.803883349642216</v>
      </c>
    </row>
    <row r="92" spans="1:8" s="51" customFormat="1" ht="16.2" customHeight="1" x14ac:dyDescent="0.3">
      <c r="A92" s="74" t="s">
        <v>84</v>
      </c>
      <c r="B92" s="16" t="s">
        <v>85</v>
      </c>
      <c r="C92" s="14" t="s">
        <v>27</v>
      </c>
      <c r="D92" s="144">
        <f>E92+F92+G92+H92</f>
        <v>215.96209460801151</v>
      </c>
      <c r="E92" s="144">
        <f>E96/(100%-18%)-E96</f>
        <v>164.83398558362273</v>
      </c>
      <c r="F92" s="144">
        <f t="shared" ref="F92:H92" si="21">F96/(100%-18%)-F96</f>
        <v>0.2020353902486971</v>
      </c>
      <c r="G92" s="144">
        <f t="shared" si="21"/>
        <v>47.721374631204469</v>
      </c>
      <c r="H92" s="144">
        <f t="shared" si="21"/>
        <v>3.2046990029355964</v>
      </c>
    </row>
    <row r="93" spans="1:8" s="51" customFormat="1" ht="16.2" customHeight="1" x14ac:dyDescent="0.3">
      <c r="A93" s="74" t="s">
        <v>86</v>
      </c>
      <c r="B93" s="16" t="s">
        <v>113</v>
      </c>
      <c r="C93" s="14" t="s">
        <v>27</v>
      </c>
      <c r="D93" s="144">
        <f t="shared" ref="D93:D96" si="22">E93+F93+G93+H93</f>
        <v>0</v>
      </c>
      <c r="E93" s="144">
        <f>'[2]Д17 2 ст_тариф'!H118</f>
        <v>0</v>
      </c>
      <c r="F93" s="144">
        <f>'[2]Д17 2 ст_тариф'!K118</f>
        <v>0</v>
      </c>
      <c r="G93" s="144">
        <f>'[2]Д17 2 ст_тариф'!N118</f>
        <v>0</v>
      </c>
      <c r="H93" s="144">
        <f>'[2]Д17 2 ст_тариф'!Q118</f>
        <v>0</v>
      </c>
    </row>
    <row r="94" spans="1:8" s="51" customFormat="1" ht="16.2" customHeight="1" x14ac:dyDescent="0.3">
      <c r="A94" s="74" t="s">
        <v>88</v>
      </c>
      <c r="B94" s="16" t="s">
        <v>114</v>
      </c>
      <c r="C94" s="14" t="s">
        <v>27</v>
      </c>
      <c r="D94" s="144">
        <f t="shared" si="22"/>
        <v>0</v>
      </c>
      <c r="E94" s="144">
        <f>'[2]Д17 2 ст_тариф'!H119</f>
        <v>0</v>
      </c>
      <c r="F94" s="144">
        <f>'[2]Д17 2 ст_тариф'!K119</f>
        <v>0</v>
      </c>
      <c r="G94" s="144">
        <f>'[2]Д17 2 ст_тариф'!N119</f>
        <v>0</v>
      </c>
      <c r="H94" s="144">
        <f>'[2]Д17 2 ст_тариф'!Q119</f>
        <v>0</v>
      </c>
    </row>
    <row r="95" spans="1:8" s="51" customFormat="1" ht="16.2" customHeight="1" x14ac:dyDescent="0.3">
      <c r="A95" s="74" t="s">
        <v>90</v>
      </c>
      <c r="B95" s="16" t="s">
        <v>91</v>
      </c>
      <c r="C95" s="14" t="s">
        <v>27</v>
      </c>
      <c r="D95" s="144">
        <f t="shared" si="22"/>
        <v>0</v>
      </c>
      <c r="E95" s="144">
        <f>'[2]Д17 2 ст_тариф'!H120</f>
        <v>0</v>
      </c>
      <c r="F95" s="144">
        <f>'[2]Д17 2 ст_тариф'!K120</f>
        <v>0</v>
      </c>
      <c r="G95" s="144">
        <f>'[2]Д17 2 ст_тариф'!N120</f>
        <v>0</v>
      </c>
      <c r="H95" s="144">
        <f>'[2]Д17 2 ст_тариф'!Q120</f>
        <v>0</v>
      </c>
    </row>
    <row r="96" spans="1:8" s="51" customFormat="1" ht="19.8" customHeight="1" x14ac:dyDescent="0.3">
      <c r="A96" s="74" t="s">
        <v>92</v>
      </c>
      <c r="B96" s="16" t="s">
        <v>93</v>
      </c>
      <c r="C96" s="14" t="s">
        <v>27</v>
      </c>
      <c r="D96" s="144">
        <f t="shared" si="22"/>
        <v>983.82731988094179</v>
      </c>
      <c r="E96" s="144">
        <f>E88*2%</f>
        <v>750.91037876983739</v>
      </c>
      <c r="F96" s="144">
        <f t="shared" ref="F96:H96" si="23">F88*2%</f>
        <v>0.92038344446628706</v>
      </c>
      <c r="G96" s="144">
        <f t="shared" si="23"/>
        <v>217.39737331993155</v>
      </c>
      <c r="H96" s="144">
        <f t="shared" si="23"/>
        <v>14.59918434670662</v>
      </c>
    </row>
    <row r="97" spans="1:8" s="51" customFormat="1" ht="30.6" customHeight="1" thickBot="1" x14ac:dyDescent="0.35">
      <c r="A97" s="80" t="s">
        <v>94</v>
      </c>
      <c r="B97" s="81" t="s">
        <v>115</v>
      </c>
      <c r="C97" s="14" t="s">
        <v>27</v>
      </c>
      <c r="D97" s="194">
        <f>D91+D90+D88</f>
        <v>50391.155408536033</v>
      </c>
      <c r="E97" s="194">
        <f>E91+E90+E88</f>
        <v>38461.263302845327</v>
      </c>
      <c r="F97" s="194">
        <f>F91+F90+F88</f>
        <v>47.141591058029334</v>
      </c>
      <c r="G97" s="194">
        <f>G91+G90+G88</f>
        <v>11134.987413947712</v>
      </c>
      <c r="H97" s="139">
        <f>H91+H90+H88</f>
        <v>747.76310068497321</v>
      </c>
    </row>
    <row r="98" spans="1:8" s="51" customFormat="1" ht="45" customHeight="1" x14ac:dyDescent="0.3">
      <c r="A98" s="251" t="s">
        <v>96</v>
      </c>
      <c r="B98" s="258" t="s">
        <v>116</v>
      </c>
      <c r="C98" s="259" t="s">
        <v>98</v>
      </c>
      <c r="D98" s="295">
        <f>D97/D10</f>
        <v>1343.7676702739943</v>
      </c>
      <c r="E98" s="296">
        <f>E97/E10</f>
        <v>1329.3116985425438</v>
      </c>
      <c r="F98" s="296">
        <f>F97/F10</f>
        <v>1392.5915406915854</v>
      </c>
      <c r="G98" s="296">
        <f>G97/G10</f>
        <v>1392.5914294771096</v>
      </c>
      <c r="H98" s="297">
        <f>H97/H10</f>
        <v>1392.5914143843152</v>
      </c>
    </row>
    <row r="99" spans="1:8" s="51" customFormat="1" ht="35.4" customHeight="1" thickBot="1" x14ac:dyDescent="0.35">
      <c r="A99" s="260" t="s">
        <v>99</v>
      </c>
      <c r="B99" s="261" t="s">
        <v>117</v>
      </c>
      <c r="C99" s="262" t="s">
        <v>98</v>
      </c>
      <c r="D99" s="298">
        <f>D98*1.2</f>
        <v>1612.5212043287931</v>
      </c>
      <c r="E99" s="299">
        <f>E98*1.2</f>
        <v>1595.1740382510525</v>
      </c>
      <c r="F99" s="299">
        <f>F98*1.2</f>
        <v>1671.1098488299024</v>
      </c>
      <c r="G99" s="299">
        <f t="shared" ref="G99:H99" si="24">G98*1.2</f>
        <v>1671.1097153725316</v>
      </c>
      <c r="H99" s="299">
        <f t="shared" si="24"/>
        <v>1671.1096972611781</v>
      </c>
    </row>
    <row r="100" spans="1:8" s="51" customFormat="1" ht="18" customHeight="1" thickBot="1" x14ac:dyDescent="0.35">
      <c r="A100" s="263"/>
      <c r="B100" s="350" t="s">
        <v>118</v>
      </c>
      <c r="C100" s="348"/>
      <c r="D100" s="348"/>
      <c r="E100" s="348"/>
      <c r="F100" s="348"/>
      <c r="G100" s="348"/>
      <c r="H100" s="348"/>
    </row>
    <row r="101" spans="1:8" s="51" customFormat="1" ht="14.4" customHeight="1" x14ac:dyDescent="0.3">
      <c r="A101" s="264">
        <v>1</v>
      </c>
      <c r="B101" s="53" t="s">
        <v>26</v>
      </c>
      <c r="C101" s="29" t="s">
        <v>27</v>
      </c>
      <c r="D101" s="300">
        <f>D102+D103+D104+D108</f>
        <v>2533.2417099999998</v>
      </c>
      <c r="E101" s="300">
        <f t="shared" ref="E101:H101" si="25">E102+E103+E104+E108</f>
        <v>1954.5339599999998</v>
      </c>
      <c r="F101" s="301">
        <f t="shared" si="25"/>
        <v>2.2867999999999999</v>
      </c>
      <c r="G101" s="301">
        <f t="shared" si="25"/>
        <v>540.14768000000004</v>
      </c>
      <c r="H101" s="301">
        <f t="shared" si="25"/>
        <v>36.273270000000004</v>
      </c>
    </row>
    <row r="102" spans="1:8" s="51" customFormat="1" ht="14.4" customHeight="1" x14ac:dyDescent="0.3">
      <c r="A102" s="253" t="s">
        <v>28</v>
      </c>
      <c r="B102" s="54" t="s">
        <v>119</v>
      </c>
      <c r="C102" s="2" t="s">
        <v>27</v>
      </c>
      <c r="D102" s="144">
        <f>E102+F102+G102+H102</f>
        <v>45.204720000000002</v>
      </c>
      <c r="E102" s="144">
        <f>'Додаток 2'!G116</f>
        <v>34.877899999999997</v>
      </c>
      <c r="F102" s="144">
        <f>'Додаток 2'!J116</f>
        <v>4.0809999999999999E-2</v>
      </c>
      <c r="G102" s="144">
        <f>'Додаток 2'!M116</f>
        <v>9.6387300000000007</v>
      </c>
      <c r="H102" s="144">
        <f>'Додаток 2'!P116</f>
        <v>0.64727999999999997</v>
      </c>
    </row>
    <row r="103" spans="1:8" s="51" customFormat="1" ht="14.4" customHeight="1" x14ac:dyDescent="0.3">
      <c r="A103" s="253" t="s">
        <v>50</v>
      </c>
      <c r="B103" s="54" t="s">
        <v>51</v>
      </c>
      <c r="C103" s="2" t="s">
        <v>27</v>
      </c>
      <c r="D103" s="144">
        <f t="shared" ref="D103:D121" si="26">E103+F103+G103+H103</f>
        <v>2043.79602</v>
      </c>
      <c r="E103" s="144">
        <f>'Додаток 2'!G117</f>
        <v>1576.89995</v>
      </c>
      <c r="F103" s="144">
        <f>'Додаток 2'!J117</f>
        <v>1.8449599999999999</v>
      </c>
      <c r="G103" s="144">
        <f>'Додаток 2'!M117</f>
        <v>435.78616</v>
      </c>
      <c r="H103" s="144">
        <f>'Додаток 2'!P117</f>
        <v>29.264949999999999</v>
      </c>
    </row>
    <row r="104" spans="1:8" s="51" customFormat="1" ht="14.4" customHeight="1" x14ac:dyDescent="0.3">
      <c r="A104" s="253" t="s">
        <v>52</v>
      </c>
      <c r="B104" s="54" t="s">
        <v>53</v>
      </c>
      <c r="C104" s="2" t="s">
        <v>27</v>
      </c>
      <c r="D104" s="144">
        <f t="shared" si="26"/>
        <v>342.97460000000001</v>
      </c>
      <c r="E104" s="144">
        <f>E105+E106+E107</f>
        <v>264.62358999999998</v>
      </c>
      <c r="F104" s="144">
        <f t="shared" ref="F104:H104" si="27">F105+F106+F107</f>
        <v>0.30961</v>
      </c>
      <c r="G104" s="144">
        <f t="shared" si="27"/>
        <v>73.130380000000002</v>
      </c>
      <c r="H104" s="144">
        <f t="shared" si="27"/>
        <v>4.9110200000000006</v>
      </c>
    </row>
    <row r="105" spans="1:8" s="51" customFormat="1" ht="31.8" customHeight="1" x14ac:dyDescent="0.3">
      <c r="A105" s="253" t="s">
        <v>54</v>
      </c>
      <c r="B105" s="54" t="s">
        <v>55</v>
      </c>
      <c r="C105" s="2" t="s">
        <v>27</v>
      </c>
      <c r="D105" s="144">
        <f t="shared" si="26"/>
        <v>318.52278000000001</v>
      </c>
      <c r="E105" s="144">
        <f>'Додаток 2'!G119</f>
        <v>245.75766999999999</v>
      </c>
      <c r="F105" s="144">
        <f>'Додаток 2'!J119</f>
        <v>0.28754000000000002</v>
      </c>
      <c r="G105" s="144">
        <f>'Додаток 2'!M119</f>
        <v>67.916669999999996</v>
      </c>
      <c r="H105" s="144">
        <f>'Додаток 2'!P119</f>
        <v>4.5609000000000002</v>
      </c>
    </row>
    <row r="106" spans="1:8" s="51" customFormat="1" ht="16.8" customHeight="1" x14ac:dyDescent="0.3">
      <c r="A106" s="253" t="s">
        <v>56</v>
      </c>
      <c r="B106" s="54" t="s">
        <v>106</v>
      </c>
      <c r="C106" s="2" t="s">
        <v>27</v>
      </c>
      <c r="D106" s="144">
        <f t="shared" si="26"/>
        <v>0</v>
      </c>
      <c r="E106" s="144">
        <f>'Додаток 2'!G120</f>
        <v>0</v>
      </c>
      <c r="F106" s="144">
        <f>'Додаток 2'!J120</f>
        <v>0</v>
      </c>
      <c r="G106" s="144">
        <f>'Додаток 2'!M120</f>
        <v>0</v>
      </c>
      <c r="H106" s="144">
        <f>'Додаток 2'!P120</f>
        <v>0</v>
      </c>
    </row>
    <row r="107" spans="1:8" s="51" customFormat="1" ht="16.8" customHeight="1" x14ac:dyDescent="0.3">
      <c r="A107" s="253" t="s">
        <v>58</v>
      </c>
      <c r="B107" s="54" t="s">
        <v>59</v>
      </c>
      <c r="C107" s="2" t="s">
        <v>27</v>
      </c>
      <c r="D107" s="144">
        <f t="shared" si="26"/>
        <v>24.451819999999998</v>
      </c>
      <c r="E107" s="144">
        <f>'Додаток 2'!G121</f>
        <v>18.865919999999999</v>
      </c>
      <c r="F107" s="144">
        <f>'Додаток 2'!J121</f>
        <v>2.2069999999999999E-2</v>
      </c>
      <c r="G107" s="144">
        <f>'Додаток 2'!M121</f>
        <v>5.2137099999999998</v>
      </c>
      <c r="H107" s="144">
        <f>'Додаток 2'!P121</f>
        <v>0.35011999999999999</v>
      </c>
    </row>
    <row r="108" spans="1:8" s="51" customFormat="1" ht="16.8" customHeight="1" x14ac:dyDescent="0.3">
      <c r="A108" s="253" t="s">
        <v>60</v>
      </c>
      <c r="B108" s="55" t="s">
        <v>61</v>
      </c>
      <c r="C108" s="30" t="s">
        <v>27</v>
      </c>
      <c r="D108" s="144">
        <f t="shared" si="26"/>
        <v>101.26636999999999</v>
      </c>
      <c r="E108" s="144">
        <f>E109+E110+E111</f>
        <v>78.13252</v>
      </c>
      <c r="F108" s="144">
        <f t="shared" ref="F108:H108" si="28">F109+F110+F111</f>
        <v>9.1419999999999987E-2</v>
      </c>
      <c r="G108" s="144">
        <f t="shared" si="28"/>
        <v>21.592410000000001</v>
      </c>
      <c r="H108" s="144">
        <f t="shared" si="28"/>
        <v>1.4500200000000001</v>
      </c>
    </row>
    <row r="109" spans="1:8" s="51" customFormat="1" ht="20.399999999999999" customHeight="1" x14ac:dyDescent="0.3">
      <c r="A109" s="253" t="s">
        <v>62</v>
      </c>
      <c r="B109" s="54" t="s">
        <v>63</v>
      </c>
      <c r="C109" s="2" t="s">
        <v>27</v>
      </c>
      <c r="D109" s="144">
        <f t="shared" si="26"/>
        <v>73.100809999999996</v>
      </c>
      <c r="E109" s="144">
        <f>'Додаток 2'!G123</f>
        <v>56.401260000000001</v>
      </c>
      <c r="F109" s="144">
        <f>'Додаток 2'!J123</f>
        <v>6.5989999999999993E-2</v>
      </c>
      <c r="G109" s="144">
        <f>'Додаток 2'!M123</f>
        <v>15.58684</v>
      </c>
      <c r="H109" s="144">
        <f>'Додаток 2'!P123</f>
        <v>1.0467200000000001</v>
      </c>
    </row>
    <row r="110" spans="1:8" s="51" customFormat="1" ht="28.2" customHeight="1" x14ac:dyDescent="0.3">
      <c r="A110" s="253" t="s">
        <v>64</v>
      </c>
      <c r="B110" s="54" t="s">
        <v>55</v>
      </c>
      <c r="C110" s="2" t="s">
        <v>27</v>
      </c>
      <c r="D110" s="144">
        <f t="shared" si="26"/>
        <v>14.25201</v>
      </c>
      <c r="E110" s="144">
        <f>'Додаток 2'!G124</f>
        <v>10.9962</v>
      </c>
      <c r="F110" s="144">
        <f>'Додаток 2'!J124</f>
        <v>1.2869999999999999E-2</v>
      </c>
      <c r="G110" s="144">
        <f>'Додаток 2'!M124</f>
        <v>3.0388700000000002</v>
      </c>
      <c r="H110" s="144">
        <f>'Додаток 2'!P124</f>
        <v>0.20407</v>
      </c>
    </row>
    <row r="111" spans="1:8" s="51" customFormat="1" ht="15" customHeight="1" x14ac:dyDescent="0.3">
      <c r="A111" s="253" t="s">
        <v>65</v>
      </c>
      <c r="B111" s="54" t="s">
        <v>66</v>
      </c>
      <c r="C111" s="2" t="s">
        <v>27</v>
      </c>
      <c r="D111" s="144">
        <f t="shared" si="26"/>
        <v>13.913550000000001</v>
      </c>
      <c r="E111" s="144">
        <f>'Додаток 2'!G125</f>
        <v>10.735060000000001</v>
      </c>
      <c r="F111" s="144">
        <f>'Додаток 2'!J125</f>
        <v>1.256E-2</v>
      </c>
      <c r="G111" s="144">
        <f>'Додаток 2'!M125</f>
        <v>2.9666999999999999</v>
      </c>
      <c r="H111" s="144">
        <f>'Додаток 2'!P125</f>
        <v>0.19922999999999999</v>
      </c>
    </row>
    <row r="112" spans="1:8" s="51" customFormat="1" ht="15" customHeight="1" x14ac:dyDescent="0.3">
      <c r="A112" s="253">
        <v>2</v>
      </c>
      <c r="B112" s="55" t="s">
        <v>67</v>
      </c>
      <c r="C112" s="2" t="s">
        <v>27</v>
      </c>
      <c r="D112" s="144">
        <f t="shared" si="26"/>
        <v>255.39455999999998</v>
      </c>
      <c r="E112" s="144">
        <f>E113+E114+E115</f>
        <v>197.05081999999999</v>
      </c>
      <c r="F112" s="144">
        <f t="shared" ref="F112:H112" si="29">F113+F114+F115</f>
        <v>0.23054000000000002</v>
      </c>
      <c r="G112" s="144">
        <f t="shared" si="29"/>
        <v>54.456220000000002</v>
      </c>
      <c r="H112" s="144">
        <f t="shared" si="29"/>
        <v>3.6569799999999999</v>
      </c>
    </row>
    <row r="113" spans="1:8" s="51" customFormat="1" ht="15" customHeight="1" x14ac:dyDescent="0.3">
      <c r="A113" s="253" t="s">
        <v>68</v>
      </c>
      <c r="B113" s="54" t="s">
        <v>63</v>
      </c>
      <c r="C113" s="2" t="s">
        <v>27</v>
      </c>
      <c r="D113" s="144">
        <f t="shared" si="26"/>
        <v>201.17422999999999</v>
      </c>
      <c r="E113" s="144">
        <f>'Додаток 2'!G127</f>
        <v>155.21688</v>
      </c>
      <c r="F113" s="144">
        <f>'Додаток 2'!J127</f>
        <v>0.18160000000000001</v>
      </c>
      <c r="G113" s="144">
        <f>'Додаток 2'!M127</f>
        <v>42.895150000000001</v>
      </c>
      <c r="H113" s="144">
        <f>'Додаток 2'!P127</f>
        <v>2.8805999999999998</v>
      </c>
    </row>
    <row r="114" spans="1:8" s="51" customFormat="1" ht="25.8" customHeight="1" x14ac:dyDescent="0.3">
      <c r="A114" s="253" t="s">
        <v>69</v>
      </c>
      <c r="B114" s="54" t="s">
        <v>55</v>
      </c>
      <c r="C114" s="2" t="s">
        <v>27</v>
      </c>
      <c r="D114" s="144">
        <f t="shared" si="26"/>
        <v>44.258319999999998</v>
      </c>
      <c r="E114" s="144">
        <f>'Додаток 2'!G128</f>
        <v>34.147709999999996</v>
      </c>
      <c r="F114" s="144">
        <f>'Додаток 2'!J128</f>
        <v>3.9949999999999999E-2</v>
      </c>
      <c r="G114" s="144">
        <f>'Додаток 2'!M128</f>
        <v>9.4369300000000003</v>
      </c>
      <c r="H114" s="144">
        <f>'Додаток 2'!P128</f>
        <v>0.63373000000000002</v>
      </c>
    </row>
    <row r="115" spans="1:8" s="51" customFormat="1" ht="16.2" customHeight="1" x14ac:dyDescent="0.3">
      <c r="A115" s="253" t="s">
        <v>70</v>
      </c>
      <c r="B115" s="54" t="s">
        <v>66</v>
      </c>
      <c r="C115" s="2" t="s">
        <v>27</v>
      </c>
      <c r="D115" s="144">
        <f t="shared" si="26"/>
        <v>9.9620099999999994</v>
      </c>
      <c r="E115" s="144">
        <f>'Додаток 2'!G129</f>
        <v>7.6862300000000001</v>
      </c>
      <c r="F115" s="144">
        <f>'Додаток 2'!J129</f>
        <v>8.9899999999999997E-3</v>
      </c>
      <c r="G115" s="144">
        <f>'Додаток 2'!M129</f>
        <v>2.1241400000000001</v>
      </c>
      <c r="H115" s="144">
        <f>'Додаток 2'!P129</f>
        <v>0.14265</v>
      </c>
    </row>
    <row r="116" spans="1:8" s="51" customFormat="1" ht="16.2" customHeight="1" x14ac:dyDescent="0.3">
      <c r="A116" s="253" t="s">
        <v>71</v>
      </c>
      <c r="B116" s="56" t="s">
        <v>72</v>
      </c>
      <c r="C116" s="2" t="s">
        <v>27</v>
      </c>
      <c r="D116" s="144">
        <f t="shared" si="26"/>
        <v>0</v>
      </c>
      <c r="E116" s="144">
        <v>0</v>
      </c>
      <c r="F116" s="144">
        <v>0</v>
      </c>
      <c r="G116" s="144">
        <v>0</v>
      </c>
      <c r="H116" s="144">
        <v>0</v>
      </c>
    </row>
    <row r="117" spans="1:8" s="51" customFormat="1" ht="16.2" customHeight="1" x14ac:dyDescent="0.3">
      <c r="A117" s="253" t="s">
        <v>20</v>
      </c>
      <c r="B117" s="57" t="s">
        <v>63</v>
      </c>
      <c r="C117" s="2" t="s">
        <v>27</v>
      </c>
      <c r="D117" s="144">
        <f t="shared" si="26"/>
        <v>0</v>
      </c>
      <c r="E117" s="144">
        <v>0</v>
      </c>
      <c r="F117" s="144">
        <v>0</v>
      </c>
      <c r="G117" s="144">
        <v>0</v>
      </c>
      <c r="H117" s="144">
        <v>0</v>
      </c>
    </row>
    <row r="118" spans="1:8" s="51" customFormat="1" ht="30.6" customHeight="1" x14ac:dyDescent="0.3">
      <c r="A118" s="253" t="s">
        <v>73</v>
      </c>
      <c r="B118" s="57" t="s">
        <v>55</v>
      </c>
      <c r="C118" s="2" t="s">
        <v>27</v>
      </c>
      <c r="D118" s="144">
        <f t="shared" si="26"/>
        <v>0</v>
      </c>
      <c r="E118" s="144">
        <v>0</v>
      </c>
      <c r="F118" s="144">
        <v>0</v>
      </c>
      <c r="G118" s="144">
        <v>0</v>
      </c>
      <c r="H118" s="144">
        <v>0</v>
      </c>
    </row>
    <row r="119" spans="1:8" s="51" customFormat="1" ht="15.6" x14ac:dyDescent="0.3">
      <c r="A119" s="253" t="s">
        <v>74</v>
      </c>
      <c r="B119" s="58" t="s">
        <v>108</v>
      </c>
      <c r="C119" s="2" t="s">
        <v>27</v>
      </c>
      <c r="D119" s="144">
        <f t="shared" si="26"/>
        <v>0</v>
      </c>
      <c r="E119" s="144">
        <v>0</v>
      </c>
      <c r="F119" s="144">
        <v>0</v>
      </c>
      <c r="G119" s="144">
        <v>0</v>
      </c>
      <c r="H119" s="144">
        <v>0</v>
      </c>
    </row>
    <row r="120" spans="1:8" s="51" customFormat="1" ht="18.600000000000001" customHeight="1" x14ac:dyDescent="0.3">
      <c r="A120" s="253" t="s">
        <v>24</v>
      </c>
      <c r="B120" s="55" t="s">
        <v>120</v>
      </c>
      <c r="C120" s="2" t="s">
        <v>27</v>
      </c>
      <c r="D120" s="144">
        <f t="shared" si="26"/>
        <v>0</v>
      </c>
      <c r="E120" s="144">
        <v>0</v>
      </c>
      <c r="F120" s="144">
        <v>0</v>
      </c>
      <c r="G120" s="144">
        <v>0</v>
      </c>
      <c r="H120" s="144">
        <v>0</v>
      </c>
    </row>
    <row r="121" spans="1:8" s="51" customFormat="1" ht="18.600000000000001" customHeight="1" x14ac:dyDescent="0.3">
      <c r="A121" s="253" t="s">
        <v>76</v>
      </c>
      <c r="B121" s="55" t="s">
        <v>77</v>
      </c>
      <c r="C121" s="2" t="s">
        <v>27</v>
      </c>
      <c r="D121" s="144">
        <f t="shared" si="26"/>
        <v>0</v>
      </c>
      <c r="E121" s="144">
        <v>0</v>
      </c>
      <c r="F121" s="144">
        <v>0</v>
      </c>
      <c r="G121" s="144">
        <v>0</v>
      </c>
      <c r="H121" s="144">
        <v>0</v>
      </c>
    </row>
    <row r="122" spans="1:8" s="51" customFormat="1" ht="18.600000000000001" customHeight="1" x14ac:dyDescent="0.3">
      <c r="A122" s="253" t="s">
        <v>78</v>
      </c>
      <c r="B122" s="55" t="s">
        <v>110</v>
      </c>
      <c r="C122" s="2" t="s">
        <v>27</v>
      </c>
      <c r="D122" s="223">
        <f>D101+D112+D116+D120+D121</f>
        <v>2788.63627</v>
      </c>
      <c r="E122" s="223">
        <f t="shared" ref="E122:H122" si="30">E101+E112+E116+E120+E121</f>
        <v>2151.5847799999997</v>
      </c>
      <c r="F122" s="223">
        <f t="shared" si="30"/>
        <v>2.5173399999999999</v>
      </c>
      <c r="G122" s="223">
        <f t="shared" si="30"/>
        <v>594.60390000000007</v>
      </c>
      <c r="H122" s="223">
        <f t="shared" si="30"/>
        <v>39.930250000000001</v>
      </c>
    </row>
    <row r="123" spans="1:8" s="51" customFormat="1" ht="18.600000000000001" customHeight="1" x14ac:dyDescent="0.3">
      <c r="A123" s="253" t="s">
        <v>80</v>
      </c>
      <c r="B123" s="55" t="s">
        <v>81</v>
      </c>
      <c r="C123" s="2" t="s">
        <v>27</v>
      </c>
      <c r="D123" s="144">
        <v>0</v>
      </c>
      <c r="E123" s="144">
        <v>0</v>
      </c>
      <c r="F123" s="144">
        <v>0</v>
      </c>
      <c r="G123" s="144">
        <v>0</v>
      </c>
      <c r="H123" s="144">
        <v>0</v>
      </c>
    </row>
    <row r="124" spans="1:8" s="51" customFormat="1" ht="15.6" customHeight="1" x14ac:dyDescent="0.3">
      <c r="A124" s="253" t="s">
        <v>82</v>
      </c>
      <c r="B124" s="55" t="s">
        <v>121</v>
      </c>
      <c r="C124" s="2" t="s">
        <v>27</v>
      </c>
      <c r="D124" s="223">
        <f>D125+D126+D127+D128+D129</f>
        <v>68.015518780487781</v>
      </c>
      <c r="E124" s="223">
        <f t="shared" ref="E124:H124" si="31">E125+E126+E127+E128+E129</f>
        <v>52.477677560975593</v>
      </c>
      <c r="F124" s="139">
        <f t="shared" si="31"/>
        <v>6.1398536585365843E-2</v>
      </c>
      <c r="G124" s="139">
        <f t="shared" si="31"/>
        <v>14.502534146341464</v>
      </c>
      <c r="H124" s="139">
        <f t="shared" si="31"/>
        <v>0.9739085365853658</v>
      </c>
    </row>
    <row r="125" spans="1:8" s="51" customFormat="1" ht="15.6" customHeight="1" x14ac:dyDescent="0.3">
      <c r="A125" s="253" t="s">
        <v>84</v>
      </c>
      <c r="B125" s="54" t="s">
        <v>85</v>
      </c>
      <c r="C125" s="2" t="s">
        <v>27</v>
      </c>
      <c r="D125" s="144">
        <f>E125+F125+G125+H125</f>
        <v>12.242793380487795</v>
      </c>
      <c r="E125" s="144">
        <f>E129/(100%-18%)-E129</f>
        <v>9.4459819609756011</v>
      </c>
      <c r="F125" s="144">
        <f>F129/(100%-18%)-F129</f>
        <v>1.1051736585365846E-2</v>
      </c>
      <c r="G125" s="144">
        <f>G129/(100%-18%)-G129</f>
        <v>2.6104561463414626</v>
      </c>
      <c r="H125" s="144">
        <f>H129/(100%-18%)-H129</f>
        <v>0.17530353658536579</v>
      </c>
    </row>
    <row r="126" spans="1:8" s="51" customFormat="1" ht="15.6" customHeight="1" x14ac:dyDescent="0.3">
      <c r="A126" s="253" t="s">
        <v>86</v>
      </c>
      <c r="B126" s="54" t="s">
        <v>113</v>
      </c>
      <c r="C126" s="2" t="s">
        <v>27</v>
      </c>
      <c r="D126" s="144">
        <f t="shared" ref="D126:D129" si="32">E126+F126+G126+H126</f>
        <v>0</v>
      </c>
      <c r="E126" s="144">
        <f>'[2]Д17 2 ст_тариф'!H151</f>
        <v>0</v>
      </c>
      <c r="F126" s="144">
        <v>0</v>
      </c>
      <c r="G126" s="144">
        <f>'[2]Д17 2 ст_тариф'!J151</f>
        <v>0</v>
      </c>
      <c r="H126" s="144">
        <f>'[2]Д17 2 ст_тариф'!K151</f>
        <v>0</v>
      </c>
    </row>
    <row r="127" spans="1:8" s="51" customFormat="1" ht="15.6" customHeight="1" x14ac:dyDescent="0.3">
      <c r="A127" s="253" t="s">
        <v>88</v>
      </c>
      <c r="B127" s="54" t="s">
        <v>114</v>
      </c>
      <c r="C127" s="2" t="s">
        <v>27</v>
      </c>
      <c r="D127" s="144">
        <f t="shared" si="32"/>
        <v>0</v>
      </c>
      <c r="E127" s="144">
        <f>'[2]Д17 2 ст_тариф'!H152</f>
        <v>0</v>
      </c>
      <c r="F127" s="144">
        <v>0</v>
      </c>
      <c r="G127" s="144">
        <f>'[2]Д17 2 ст_тариф'!J152</f>
        <v>0</v>
      </c>
      <c r="H127" s="144">
        <f>'[2]Д17 2 ст_тариф'!K152</f>
        <v>0</v>
      </c>
    </row>
    <row r="128" spans="1:8" s="51" customFormat="1" ht="15.6" customHeight="1" x14ac:dyDescent="0.3">
      <c r="A128" s="253" t="s">
        <v>90</v>
      </c>
      <c r="B128" s="54" t="s">
        <v>91</v>
      </c>
      <c r="C128" s="2" t="s">
        <v>27</v>
      </c>
      <c r="D128" s="144">
        <f t="shared" si="32"/>
        <v>0</v>
      </c>
      <c r="E128" s="144">
        <f>'[2]Д17 2 ст_тариф'!H153</f>
        <v>0</v>
      </c>
      <c r="F128" s="144">
        <v>0</v>
      </c>
      <c r="G128" s="144">
        <f>'[2]Д17 2 ст_тариф'!J153</f>
        <v>0</v>
      </c>
      <c r="H128" s="144">
        <f>'[2]Д17 2 ст_тариф'!K153</f>
        <v>0</v>
      </c>
    </row>
    <row r="129" spans="1:8" s="51" customFormat="1" ht="15.6" customHeight="1" x14ac:dyDescent="0.3">
      <c r="A129" s="253" t="s">
        <v>92</v>
      </c>
      <c r="B129" s="54" t="s">
        <v>93</v>
      </c>
      <c r="C129" s="2" t="s">
        <v>27</v>
      </c>
      <c r="D129" s="144">
        <f t="shared" si="32"/>
        <v>55.772725399999992</v>
      </c>
      <c r="E129" s="144">
        <f>E122*2%</f>
        <v>43.031695599999992</v>
      </c>
      <c r="F129" s="144">
        <f>F122*2%</f>
        <v>5.0346799999999997E-2</v>
      </c>
      <c r="G129" s="144">
        <f>G122*2%</f>
        <v>11.892078000000001</v>
      </c>
      <c r="H129" s="144">
        <f>H122*2%</f>
        <v>0.79860500000000001</v>
      </c>
    </row>
    <row r="130" spans="1:8" s="51" customFormat="1" ht="33" customHeight="1" thickBot="1" x14ac:dyDescent="0.35">
      <c r="A130" s="253" t="s">
        <v>94</v>
      </c>
      <c r="B130" s="59" t="s">
        <v>122</v>
      </c>
      <c r="C130" s="14" t="s">
        <v>27</v>
      </c>
      <c r="D130" s="302">
        <f>D122+D123+D124</f>
        <v>2856.6517887804875</v>
      </c>
      <c r="E130" s="302">
        <f t="shared" ref="E130:H130" si="33">E122+E123+E124</f>
        <v>2204.0624575609754</v>
      </c>
      <c r="F130" s="186">
        <f>F122+F123+F124</f>
        <v>2.5787385365853659</v>
      </c>
      <c r="G130" s="186">
        <f t="shared" si="33"/>
        <v>609.10643414634148</v>
      </c>
      <c r="H130" s="186">
        <f t="shared" si="33"/>
        <v>40.904158536585363</v>
      </c>
    </row>
    <row r="131" spans="1:8" s="51" customFormat="1" ht="33" customHeight="1" x14ac:dyDescent="0.3">
      <c r="A131" s="251" t="s">
        <v>96</v>
      </c>
      <c r="B131" s="252" t="s">
        <v>123</v>
      </c>
      <c r="C131" s="13" t="s">
        <v>98</v>
      </c>
      <c r="D131" s="303">
        <f>D130/D10</f>
        <v>76.177580924118672</v>
      </c>
      <c r="E131" s="303">
        <f>E130/E10</f>
        <v>76.177581222026149</v>
      </c>
      <c r="F131" s="303">
        <f>F130/F10</f>
        <v>76.177519491941794</v>
      </c>
      <c r="G131" s="303">
        <f>G130/G10</f>
        <v>76.177580476566646</v>
      </c>
      <c r="H131" s="303">
        <f>H130/H10</f>
        <v>76.177575409222626</v>
      </c>
    </row>
    <row r="132" spans="1:8" s="51" customFormat="1" ht="30.6" customHeight="1" thickBot="1" x14ac:dyDescent="0.35">
      <c r="A132" s="253" t="s">
        <v>99</v>
      </c>
      <c r="B132" s="254" t="s">
        <v>124</v>
      </c>
      <c r="C132" s="14" t="s">
        <v>98</v>
      </c>
      <c r="D132" s="304">
        <f>D131*1.2+0.01</f>
        <v>91.423097108942414</v>
      </c>
      <c r="E132" s="304">
        <f t="shared" ref="E132:H132" si="34">E131*1.2+0.01</f>
        <v>91.423097466431386</v>
      </c>
      <c r="F132" s="304">
        <f t="shared" si="34"/>
        <v>91.423023390330158</v>
      </c>
      <c r="G132" s="304">
        <f t="shared" si="34"/>
        <v>91.423096571879981</v>
      </c>
      <c r="H132" s="304">
        <f t="shared" si="34"/>
        <v>91.423090491067157</v>
      </c>
    </row>
    <row r="133" spans="1:8" s="51" customFormat="1" ht="16.2" thickBot="1" x14ac:dyDescent="0.35">
      <c r="A133" s="265"/>
      <c r="B133" s="336" t="s">
        <v>161</v>
      </c>
      <c r="C133" s="336"/>
      <c r="D133" s="336"/>
      <c r="E133" s="336"/>
      <c r="F133" s="336"/>
      <c r="G133" s="336"/>
      <c r="H133" s="336"/>
    </row>
    <row r="134" spans="1:8" ht="30" customHeight="1" thickBot="1" x14ac:dyDescent="0.35">
      <c r="A134" s="266" t="s">
        <v>96</v>
      </c>
      <c r="B134" s="267" t="s">
        <v>162</v>
      </c>
      <c r="C134" s="13" t="s">
        <v>98</v>
      </c>
      <c r="D134" s="305">
        <f>D59+D98+D131</f>
        <v>3911.1018240669496</v>
      </c>
      <c r="E134" s="305">
        <f t="shared" ref="E134:G134" si="35">E59+E98+E131</f>
        <v>3655.1353802737763</v>
      </c>
      <c r="F134" s="305">
        <f>F59+F98+F131</f>
        <v>4775.6082471980881</v>
      </c>
      <c r="G134" s="305">
        <f t="shared" si="35"/>
        <v>4775.6057516210067</v>
      </c>
      <c r="H134" s="330">
        <f>H59+H98+H131</f>
        <v>4775.6067278716046</v>
      </c>
    </row>
    <row r="135" spans="1:8" ht="30" customHeight="1" thickBot="1" x14ac:dyDescent="0.35">
      <c r="A135" s="331" t="s">
        <v>99</v>
      </c>
      <c r="B135" s="332" t="s">
        <v>163</v>
      </c>
      <c r="C135" s="249" t="s">
        <v>98</v>
      </c>
      <c r="D135" s="333">
        <f>D134*1.2</f>
        <v>4693.3221888803391</v>
      </c>
      <c r="E135" s="333">
        <f>E134*1.2+0.01</f>
        <v>4386.1724563285316</v>
      </c>
      <c r="F135" s="333">
        <f t="shared" ref="F135:H135" si="36">F134*1.2</f>
        <v>5730.7298966377057</v>
      </c>
      <c r="G135" s="333">
        <f>G134*1.2</f>
        <v>5730.7269019452078</v>
      </c>
      <c r="H135" s="334">
        <f t="shared" si="36"/>
        <v>5730.7280734459255</v>
      </c>
    </row>
    <row r="136" spans="1:8" x14ac:dyDescent="0.3">
      <c r="A136" s="268"/>
      <c r="B136" s="31"/>
      <c r="C136" s="31"/>
      <c r="D136" s="284"/>
      <c r="E136" s="284"/>
      <c r="F136" s="285"/>
      <c r="G136" s="285"/>
      <c r="H136" s="285"/>
    </row>
    <row r="137" spans="1:8" ht="15.6" x14ac:dyDescent="0.3">
      <c r="B137" s="319" t="str">
        <f>[3]Rekv!$C$26</f>
        <v>Директор</v>
      </c>
      <c r="C137" s="320"/>
      <c r="D137" s="321"/>
      <c r="E137" s="322"/>
      <c r="F137" s="323" t="s">
        <v>176</v>
      </c>
      <c r="G137" s="324"/>
    </row>
    <row r="138" spans="1:8" ht="26.4" x14ac:dyDescent="0.3">
      <c r="B138" s="324" t="s">
        <v>177</v>
      </c>
      <c r="C138" s="325"/>
      <c r="D138" s="335" t="s">
        <v>178</v>
      </c>
      <c r="E138" s="335"/>
      <c r="F138" s="325" t="s">
        <v>179</v>
      </c>
      <c r="G138" s="324"/>
    </row>
    <row r="139" spans="1:8" ht="15.6" x14ac:dyDescent="0.3">
      <c r="B139" s="319" t="s">
        <v>180</v>
      </c>
      <c r="C139" s="326"/>
      <c r="D139" s="321"/>
      <c r="E139" s="322"/>
      <c r="F139" s="327" t="s">
        <v>181</v>
      </c>
      <c r="G139" s="326"/>
    </row>
    <row r="140" spans="1:8" x14ac:dyDescent="0.3">
      <c r="B140" s="328" t="s">
        <v>182</v>
      </c>
      <c r="C140" s="326"/>
      <c r="D140" s="335" t="s">
        <v>178</v>
      </c>
      <c r="E140" s="335"/>
      <c r="F140" s="329" t="s">
        <v>179</v>
      </c>
      <c r="G140" s="328"/>
    </row>
  </sheetData>
  <mergeCells count="13">
    <mergeCell ref="D138:E138"/>
    <mergeCell ref="D140:E140"/>
    <mergeCell ref="B133:H133"/>
    <mergeCell ref="B5:H5"/>
    <mergeCell ref="A7:A8"/>
    <mergeCell ref="B7:B8"/>
    <mergeCell ref="C7:C8"/>
    <mergeCell ref="D7:D8"/>
    <mergeCell ref="E7:H7"/>
    <mergeCell ref="A13:A14"/>
    <mergeCell ref="B16:H16"/>
    <mergeCell ref="B61:H61"/>
    <mergeCell ref="B100:H100"/>
  </mergeCells>
  <pageMargins left="0.31496062992125984" right="0" top="0" bottom="0" header="0.31496062992125984" footer="0.31496062992125984"/>
  <pageSetup paperSize="9" scale="75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EC99-9534-4266-8121-65370F91408C}">
  <dimension ref="A1:R166"/>
  <sheetViews>
    <sheetView topLeftCell="A160" zoomScale="80" zoomScaleNormal="80" workbookViewId="0">
      <selection activeCell="B163" sqref="B163:G166"/>
    </sheetView>
  </sheetViews>
  <sheetFormatPr defaultRowHeight="14.4" x14ac:dyDescent="0.3"/>
  <cols>
    <col min="1" max="1" width="8.88671875" style="51"/>
    <col min="2" max="2" width="37.5546875" style="51" customWidth="1"/>
    <col min="3" max="3" width="14.33203125" style="51" customWidth="1"/>
    <col min="4" max="4" width="14.5546875" style="82" customWidth="1"/>
    <col min="5" max="5" width="11.77734375" style="82" customWidth="1"/>
    <col min="6" max="6" width="12.88671875" style="82" customWidth="1"/>
    <col min="7" max="7" width="13.77734375" style="82" customWidth="1"/>
    <col min="8" max="8" width="12.77734375" style="82" customWidth="1"/>
    <col min="9" max="9" width="13.33203125" style="82" customWidth="1"/>
    <col min="10" max="10" width="14.33203125" style="82" customWidth="1"/>
    <col min="11" max="11" width="10.44140625" style="82" customWidth="1"/>
    <col min="12" max="12" width="13.33203125" style="82" customWidth="1"/>
    <col min="13" max="13" width="13.5546875" style="82" customWidth="1"/>
    <col min="14" max="14" width="13.6640625" style="82" customWidth="1"/>
    <col min="15" max="15" width="13.44140625" style="82" customWidth="1"/>
    <col min="16" max="16" width="13" style="82" customWidth="1"/>
    <col min="17" max="17" width="11.6640625" style="82" customWidth="1"/>
    <col min="18" max="18" width="12.77734375" style="82" customWidth="1"/>
  </cols>
  <sheetData>
    <row r="1" spans="1:18" x14ac:dyDescent="0.3">
      <c r="O1" s="318" t="s">
        <v>173</v>
      </c>
    </row>
    <row r="2" spans="1:18" x14ac:dyDescent="0.3">
      <c r="O2" s="318" t="s">
        <v>171</v>
      </c>
    </row>
    <row r="3" spans="1:18" x14ac:dyDescent="0.3">
      <c r="O3" s="318" t="s">
        <v>172</v>
      </c>
    </row>
    <row r="4" spans="1:18" x14ac:dyDescent="0.3">
      <c r="O4" s="318" t="s">
        <v>174</v>
      </c>
    </row>
    <row r="5" spans="1:18" s="51" customFormat="1" x14ac:dyDescent="0.3">
      <c r="B5" s="337" t="s">
        <v>125</v>
      </c>
      <c r="C5" s="338"/>
      <c r="D5" s="338"/>
      <c r="E5" s="338"/>
      <c r="F5" s="338"/>
      <c r="G5" s="338"/>
      <c r="H5" s="338"/>
      <c r="I5" s="362"/>
      <c r="J5" s="362"/>
      <c r="K5" s="362"/>
      <c r="L5" s="362"/>
      <c r="M5" s="362"/>
      <c r="N5" s="362"/>
      <c r="O5" s="362"/>
      <c r="P5" s="362"/>
      <c r="Q5" s="362"/>
      <c r="R5" s="362"/>
    </row>
    <row r="6" spans="1:18" s="51" customFormat="1" ht="15" thickBot="1" x14ac:dyDescent="0.35">
      <c r="B6" s="363" t="s">
        <v>0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</row>
    <row r="7" spans="1:18" s="51" customFormat="1" ht="15" thickBot="1" x14ac:dyDescent="0.35">
      <c r="B7" s="363" t="s">
        <v>167</v>
      </c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</row>
    <row r="8" spans="1:18" s="51" customFormat="1" ht="16.2" thickBot="1" x14ac:dyDescent="0.35">
      <c r="A8" s="339" t="s">
        <v>1</v>
      </c>
      <c r="B8" s="341" t="s">
        <v>2</v>
      </c>
      <c r="C8" s="343" t="s">
        <v>3</v>
      </c>
      <c r="D8" s="341" t="s">
        <v>4</v>
      </c>
      <c r="E8" s="365"/>
      <c r="F8" s="343"/>
      <c r="G8" s="345" t="s">
        <v>5</v>
      </c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67"/>
    </row>
    <row r="9" spans="1:18" s="51" customFormat="1" ht="15.6" x14ac:dyDescent="0.3">
      <c r="A9" s="340"/>
      <c r="B9" s="342"/>
      <c r="C9" s="344"/>
      <c r="D9" s="342"/>
      <c r="E9" s="366"/>
      <c r="F9" s="344"/>
      <c r="G9" s="341" t="s">
        <v>6</v>
      </c>
      <c r="H9" s="365"/>
      <c r="I9" s="343"/>
      <c r="J9" s="341" t="s">
        <v>7</v>
      </c>
      <c r="K9" s="365"/>
      <c r="L9" s="343"/>
      <c r="M9" s="341" t="s">
        <v>8</v>
      </c>
      <c r="N9" s="365"/>
      <c r="O9" s="343"/>
      <c r="P9" s="341" t="s">
        <v>9</v>
      </c>
      <c r="Q9" s="365"/>
      <c r="R9" s="343"/>
    </row>
    <row r="10" spans="1:18" s="51" customFormat="1" ht="15.6" x14ac:dyDescent="0.3">
      <c r="A10" s="340"/>
      <c r="B10" s="342"/>
      <c r="C10" s="344"/>
      <c r="D10" s="368" t="s">
        <v>10</v>
      </c>
      <c r="E10" s="358" t="s">
        <v>126</v>
      </c>
      <c r="F10" s="361"/>
      <c r="G10" s="368" t="s">
        <v>10</v>
      </c>
      <c r="H10" s="358" t="s">
        <v>126</v>
      </c>
      <c r="I10" s="361"/>
      <c r="J10" s="360" t="s">
        <v>10</v>
      </c>
      <c r="K10" s="358" t="s">
        <v>126</v>
      </c>
      <c r="L10" s="361"/>
      <c r="M10" s="360" t="s">
        <v>10</v>
      </c>
      <c r="N10" s="358" t="s">
        <v>126</v>
      </c>
      <c r="O10" s="361"/>
      <c r="P10" s="360" t="s">
        <v>10</v>
      </c>
      <c r="Q10" s="358" t="s">
        <v>126</v>
      </c>
      <c r="R10" s="361"/>
    </row>
    <row r="11" spans="1:18" s="51" customFormat="1" x14ac:dyDescent="0.3">
      <c r="A11" s="340"/>
      <c r="B11" s="342"/>
      <c r="C11" s="344"/>
      <c r="D11" s="368"/>
      <c r="E11" s="358" t="s">
        <v>127</v>
      </c>
      <c r="F11" s="361" t="s">
        <v>128</v>
      </c>
      <c r="G11" s="368"/>
      <c r="H11" s="358" t="s">
        <v>127</v>
      </c>
      <c r="I11" s="361" t="s">
        <v>128</v>
      </c>
      <c r="J11" s="360"/>
      <c r="K11" s="358" t="s">
        <v>127</v>
      </c>
      <c r="L11" s="361" t="s">
        <v>128</v>
      </c>
      <c r="M11" s="360"/>
      <c r="N11" s="358" t="s">
        <v>127</v>
      </c>
      <c r="O11" s="361" t="s">
        <v>128</v>
      </c>
      <c r="P11" s="360"/>
      <c r="Q11" s="358" t="s">
        <v>127</v>
      </c>
      <c r="R11" s="361" t="s">
        <v>128</v>
      </c>
    </row>
    <row r="12" spans="1:18" s="51" customFormat="1" x14ac:dyDescent="0.3">
      <c r="A12" s="340"/>
      <c r="B12" s="342"/>
      <c r="C12" s="344"/>
      <c r="D12" s="368"/>
      <c r="E12" s="358"/>
      <c r="F12" s="361"/>
      <c r="G12" s="368"/>
      <c r="H12" s="358"/>
      <c r="I12" s="361"/>
      <c r="J12" s="360"/>
      <c r="K12" s="358"/>
      <c r="L12" s="361"/>
      <c r="M12" s="360"/>
      <c r="N12" s="358"/>
      <c r="O12" s="361"/>
      <c r="P12" s="360"/>
      <c r="Q12" s="358"/>
      <c r="R12" s="361"/>
    </row>
    <row r="13" spans="1:18" s="51" customFormat="1" ht="15.6" x14ac:dyDescent="0.3">
      <c r="A13" s="87">
        <v>1</v>
      </c>
      <c r="B13" s="1">
        <v>2</v>
      </c>
      <c r="C13" s="2">
        <v>3</v>
      </c>
      <c r="D13" s="1">
        <v>4</v>
      </c>
      <c r="E13" s="32">
        <v>5</v>
      </c>
      <c r="F13" s="2">
        <v>6</v>
      </c>
      <c r="G13" s="1">
        <v>7</v>
      </c>
      <c r="H13" s="32">
        <v>8</v>
      </c>
      <c r="I13" s="2">
        <v>9</v>
      </c>
      <c r="J13" s="3">
        <v>10</v>
      </c>
      <c r="K13" s="32">
        <v>11</v>
      </c>
      <c r="L13" s="2">
        <v>12</v>
      </c>
      <c r="M13" s="3">
        <v>13</v>
      </c>
      <c r="N13" s="32">
        <v>14</v>
      </c>
      <c r="O13" s="2">
        <v>15</v>
      </c>
      <c r="P13" s="3">
        <v>16</v>
      </c>
      <c r="Q13" s="32">
        <v>17</v>
      </c>
      <c r="R13" s="2">
        <v>18</v>
      </c>
    </row>
    <row r="14" spans="1:18" s="51" customFormat="1" ht="35.4" customHeight="1" x14ac:dyDescent="0.3">
      <c r="A14" s="62" t="s">
        <v>11</v>
      </c>
      <c r="B14" s="4" t="s">
        <v>12</v>
      </c>
      <c r="C14" s="2" t="s">
        <v>13</v>
      </c>
      <c r="D14" s="52">
        <f>G14+J14+M14+P14</f>
        <v>37.499901600000001</v>
      </c>
      <c r="E14" s="34">
        <f>H14+K14+N14+Q14</f>
        <v>37.499901600000001</v>
      </c>
      <c r="F14" s="33" t="s">
        <v>129</v>
      </c>
      <c r="G14" s="52">
        <f>H14</f>
        <v>28.933216600000002</v>
      </c>
      <c r="H14" s="34">
        <v>28.933216600000002</v>
      </c>
      <c r="I14" s="34"/>
      <c r="J14" s="52">
        <f>K14</f>
        <v>3.3851699999999998E-2</v>
      </c>
      <c r="K14" s="34">
        <v>3.3851699999999998E-2</v>
      </c>
      <c r="L14" s="34"/>
      <c r="M14" s="52">
        <f>N14</f>
        <v>7.9958752999999998</v>
      </c>
      <c r="N14" s="34">
        <v>7.9958752999999998</v>
      </c>
      <c r="O14" s="34"/>
      <c r="P14" s="52">
        <f>Q14</f>
        <v>0.53695800000000005</v>
      </c>
      <c r="Q14" s="34">
        <v>0.53695800000000005</v>
      </c>
      <c r="R14" s="33"/>
    </row>
    <row r="15" spans="1:18" s="51" customFormat="1" ht="18.600000000000001" customHeight="1" x14ac:dyDescent="0.3">
      <c r="A15" s="62" t="s">
        <v>14</v>
      </c>
      <c r="B15" s="5" t="s">
        <v>15</v>
      </c>
      <c r="C15" s="2" t="s">
        <v>16</v>
      </c>
      <c r="D15" s="52">
        <f>G15+J15+M15+P15</f>
        <v>28.912800000000001</v>
      </c>
      <c r="E15" s="34" t="s">
        <v>129</v>
      </c>
      <c r="F15" s="33">
        <f>I15+L15+O15+R15</f>
        <v>28.912800000000001</v>
      </c>
      <c r="G15" s="52">
        <f>I15</f>
        <v>22.3078</v>
      </c>
      <c r="H15" s="34"/>
      <c r="I15" s="34">
        <v>22.3078</v>
      </c>
      <c r="J15" s="52">
        <f>L15</f>
        <v>2.6100000000000002E-2</v>
      </c>
      <c r="K15" s="34"/>
      <c r="L15" s="34">
        <v>2.6100000000000002E-2</v>
      </c>
      <c r="M15" s="52">
        <f>O15</f>
        <v>6.1649000000000003</v>
      </c>
      <c r="N15" s="34"/>
      <c r="O15" s="34">
        <v>6.1649000000000003</v>
      </c>
      <c r="P15" s="52">
        <f>R15</f>
        <v>0.41399999999999998</v>
      </c>
      <c r="Q15" s="34"/>
      <c r="R15" s="33">
        <v>0.41399999999999998</v>
      </c>
    </row>
    <row r="16" spans="1:18" s="51" customFormat="1" ht="49.2" customHeight="1" x14ac:dyDescent="0.3">
      <c r="A16" s="74" t="s">
        <v>17</v>
      </c>
      <c r="B16" s="6" t="s">
        <v>18</v>
      </c>
      <c r="C16" s="7" t="s">
        <v>19</v>
      </c>
      <c r="D16" s="52">
        <f>G16+J16+M16+P16</f>
        <v>37.499901600000001</v>
      </c>
      <c r="E16" s="131">
        <f>H16+K16+N16+Q16</f>
        <v>37.499901600000001</v>
      </c>
      <c r="F16" s="33" t="s">
        <v>129</v>
      </c>
      <c r="G16" s="52">
        <f>H16</f>
        <v>28.933216600000002</v>
      </c>
      <c r="H16" s="34">
        <f>H14</f>
        <v>28.933216600000002</v>
      </c>
      <c r="I16" s="34"/>
      <c r="J16" s="52">
        <f>K16</f>
        <v>3.3851699999999998E-2</v>
      </c>
      <c r="K16" s="34">
        <f>K14</f>
        <v>3.3851699999999998E-2</v>
      </c>
      <c r="L16" s="34"/>
      <c r="M16" s="52">
        <f>N16</f>
        <v>7.9958752999999998</v>
      </c>
      <c r="N16" s="34">
        <f>N14</f>
        <v>7.9958752999999998</v>
      </c>
      <c r="O16" s="34"/>
      <c r="P16" s="52">
        <f>Q16</f>
        <v>0.53695800000000005</v>
      </c>
      <c r="Q16" s="34">
        <f>Q14</f>
        <v>0.53695800000000005</v>
      </c>
      <c r="R16" s="33"/>
    </row>
    <row r="17" spans="1:18" s="51" customFormat="1" ht="18" customHeight="1" x14ac:dyDescent="0.3">
      <c r="A17" s="346" t="s">
        <v>20</v>
      </c>
      <c r="B17" s="8" t="s">
        <v>21</v>
      </c>
      <c r="C17" s="9"/>
      <c r="D17" s="247"/>
      <c r="E17" s="286"/>
      <c r="F17" s="287"/>
      <c r="G17" s="247"/>
      <c r="H17" s="34"/>
      <c r="I17" s="34"/>
      <c r="J17" s="247"/>
      <c r="K17" s="34"/>
      <c r="L17" s="34"/>
      <c r="M17" s="247"/>
      <c r="N17" s="34"/>
      <c r="O17" s="34"/>
      <c r="P17" s="247"/>
      <c r="Q17" s="34"/>
      <c r="R17" s="33"/>
    </row>
    <row r="18" spans="1:18" s="51" customFormat="1" ht="35.4" customHeight="1" x14ac:dyDescent="0.3">
      <c r="A18" s="346"/>
      <c r="B18" s="10" t="s">
        <v>22</v>
      </c>
      <c r="C18" s="7" t="s">
        <v>23</v>
      </c>
      <c r="D18" s="52">
        <f>G18+J18+M18+P18</f>
        <v>36.207999999999998</v>
      </c>
      <c r="E18" s="131">
        <f>H18+K18+N18+Q18</f>
        <v>36.207999999999998</v>
      </c>
      <c r="F18" s="33" t="s">
        <v>130</v>
      </c>
      <c r="G18" s="52">
        <f>H18</f>
        <v>28.196999999999999</v>
      </c>
      <c r="H18" s="34">
        <v>28.196999999999999</v>
      </c>
      <c r="I18" s="34"/>
      <c r="J18" s="52">
        <f>K18</f>
        <v>3.4000000000000002E-2</v>
      </c>
      <c r="K18" s="34">
        <v>3.4000000000000002E-2</v>
      </c>
      <c r="L18" s="34"/>
      <c r="M18" s="52">
        <f>N18</f>
        <v>7.44</v>
      </c>
      <c r="N18" s="34">
        <v>7.44</v>
      </c>
      <c r="O18" s="34"/>
      <c r="P18" s="52">
        <f>Q18</f>
        <v>0.53700000000000003</v>
      </c>
      <c r="Q18" s="34">
        <v>0.53700000000000003</v>
      </c>
      <c r="R18" s="33"/>
    </row>
    <row r="19" spans="1:18" s="51" customFormat="1" ht="51" customHeight="1" thickBot="1" x14ac:dyDescent="0.35">
      <c r="A19" s="88" t="s">
        <v>24</v>
      </c>
      <c r="B19" s="11" t="s">
        <v>159</v>
      </c>
      <c r="C19" s="12" t="s">
        <v>13</v>
      </c>
      <c r="D19" s="132">
        <f>G19+J19+M19+P19</f>
        <v>39.691071000000001</v>
      </c>
      <c r="E19" s="133">
        <f>H19+K19+N19+Q19</f>
        <v>39.691071000000001</v>
      </c>
      <c r="F19" s="35" t="s">
        <v>129</v>
      </c>
      <c r="G19" s="132">
        <f>H19</f>
        <v>30.623823000000002</v>
      </c>
      <c r="H19" s="34">
        <v>30.623823000000002</v>
      </c>
      <c r="I19" s="34"/>
      <c r="J19" s="132">
        <f>K19</f>
        <v>3.5830000000000001E-2</v>
      </c>
      <c r="K19" s="34">
        <v>3.5830000000000001E-2</v>
      </c>
      <c r="L19" s="34"/>
      <c r="M19" s="132">
        <f>N19</f>
        <v>8.4630849999999995</v>
      </c>
      <c r="N19" s="34">
        <v>8.4630849999999995</v>
      </c>
      <c r="O19" s="34"/>
      <c r="P19" s="132">
        <f>Q19</f>
        <v>0.56833299999999998</v>
      </c>
      <c r="Q19" s="34">
        <v>0.56833299999999998</v>
      </c>
      <c r="R19" s="33"/>
    </row>
    <row r="20" spans="1:18" s="51" customFormat="1" ht="20.399999999999999" customHeight="1" thickBot="1" x14ac:dyDescent="0.35">
      <c r="A20" s="89"/>
      <c r="B20" s="359" t="s">
        <v>25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3"/>
    </row>
    <row r="21" spans="1:18" s="51" customFormat="1" ht="19.2" customHeight="1" x14ac:dyDescent="0.3">
      <c r="A21" s="62">
        <v>1</v>
      </c>
      <c r="B21" s="63" t="s">
        <v>26</v>
      </c>
      <c r="C21" s="13" t="s">
        <v>27</v>
      </c>
      <c r="D21" s="136">
        <f>E21+F21</f>
        <v>87682.548779999997</v>
      </c>
      <c r="E21" s="137">
        <f>E22+E31+E32+E36</f>
        <v>52125.28858</v>
      </c>
      <c r="F21" s="138">
        <f>F22+F31+F32+F36</f>
        <v>35557.260199999997</v>
      </c>
      <c r="G21" s="136">
        <f>H21+I21</f>
        <v>60431.982529999994</v>
      </c>
      <c r="H21" s="137">
        <f>H22+H31+H32+H36</f>
        <v>32997.619570000003</v>
      </c>
      <c r="I21" s="138">
        <f>I22+I31+I32+I36</f>
        <v>27434.362959999995</v>
      </c>
      <c r="J21" s="136">
        <f>K21+L21</f>
        <v>107.68203</v>
      </c>
      <c r="K21" s="137">
        <f>K22+K31+K32+K36</f>
        <v>75.583979999999997</v>
      </c>
      <c r="L21" s="138">
        <f>L22+L31+L32+L36</f>
        <v>32.098050000000001</v>
      </c>
      <c r="M21" s="136">
        <f>N21+O21</f>
        <v>25434.824510000002</v>
      </c>
      <c r="N21" s="137">
        <f>N22+N31+N32+N36</f>
        <v>17853.166790000003</v>
      </c>
      <c r="O21" s="138">
        <f>O22+O31+O32+O36</f>
        <v>7581.6577200000002</v>
      </c>
      <c r="P21" s="136">
        <f>Q21+R21</f>
        <v>1708.05971</v>
      </c>
      <c r="Q21" s="137">
        <f>Q22+Q31+Q32+Q36</f>
        <v>1198.91824</v>
      </c>
      <c r="R21" s="138">
        <f>R22+R31+R32+R36</f>
        <v>509.14147000000003</v>
      </c>
    </row>
    <row r="22" spans="1:18" s="51" customFormat="1" ht="19.2" customHeight="1" x14ac:dyDescent="0.3">
      <c r="A22" s="62" t="s">
        <v>28</v>
      </c>
      <c r="B22" s="64" t="s">
        <v>29</v>
      </c>
      <c r="C22" s="14" t="s">
        <v>27</v>
      </c>
      <c r="D22" s="61">
        <f>D23+D27+D28+D29+D30</f>
        <v>63676.749980000008</v>
      </c>
      <c r="E22" s="134">
        <f t="shared" ref="E22:R22" si="0">E23+E27+E28+E29+E30</f>
        <v>52125.28858</v>
      </c>
      <c r="F22" s="135">
        <f t="shared" si="0"/>
        <v>11551.461399999998</v>
      </c>
      <c r="G22" s="61">
        <f t="shared" si="0"/>
        <v>41910.201230000006</v>
      </c>
      <c r="H22" s="134">
        <f t="shared" si="0"/>
        <v>32997.619570000003</v>
      </c>
      <c r="I22" s="135">
        <f t="shared" si="0"/>
        <v>8912.5816599999998</v>
      </c>
      <c r="J22" s="61">
        <f t="shared" si="0"/>
        <v>86.01164</v>
      </c>
      <c r="K22" s="134">
        <f t="shared" si="0"/>
        <v>75.583979999999997</v>
      </c>
      <c r="L22" s="135">
        <f t="shared" si="0"/>
        <v>10.427659999999999</v>
      </c>
      <c r="M22" s="61">
        <f t="shared" si="0"/>
        <v>20316.214450000003</v>
      </c>
      <c r="N22" s="134">
        <f t="shared" si="0"/>
        <v>17853.166790000003</v>
      </c>
      <c r="O22" s="135">
        <f t="shared" si="0"/>
        <v>2463.0476600000002</v>
      </c>
      <c r="P22" s="61">
        <f t="shared" si="0"/>
        <v>1364.32266</v>
      </c>
      <c r="Q22" s="134">
        <f t="shared" si="0"/>
        <v>1198.91824</v>
      </c>
      <c r="R22" s="135">
        <f t="shared" si="0"/>
        <v>165.40442000000002</v>
      </c>
    </row>
    <row r="23" spans="1:18" s="51" customFormat="1" ht="19.2" customHeight="1" x14ac:dyDescent="0.3">
      <c r="A23" s="62" t="s">
        <v>30</v>
      </c>
      <c r="B23" s="65" t="s">
        <v>31</v>
      </c>
      <c r="C23" s="14" t="s">
        <v>27</v>
      </c>
      <c r="D23" s="61">
        <f t="shared" ref="D23" si="1">D24+D25+D26</f>
        <v>56890.55732</v>
      </c>
      <c r="E23" s="134">
        <f>E24+E25+E26</f>
        <v>46267.160199999998</v>
      </c>
      <c r="F23" s="134">
        <f>F24+F25+F26</f>
        <v>10623.39712</v>
      </c>
      <c r="G23" s="61">
        <f>G24+G25+G26</f>
        <v>36674.283960000001</v>
      </c>
      <c r="H23" s="134">
        <f>H24+H25+H26</f>
        <v>28477.75445</v>
      </c>
      <c r="I23" s="134">
        <f>I24+I25+I26</f>
        <v>8196.5295100000003</v>
      </c>
      <c r="J23" s="61">
        <f t="shared" ref="J23:R23" si="2">J24+J25+J26</f>
        <v>79.885649999999998</v>
      </c>
      <c r="K23" s="134">
        <f>K24+K25+K26</f>
        <v>70.295760000000001</v>
      </c>
      <c r="L23" s="135">
        <f t="shared" si="2"/>
        <v>9.5898900000000005</v>
      </c>
      <c r="M23" s="61">
        <f t="shared" si="2"/>
        <v>18869.235980000001</v>
      </c>
      <c r="N23" s="134">
        <f>N24+N25+N26</f>
        <v>16604.073810000002</v>
      </c>
      <c r="O23" s="134">
        <f>O24+O25+O26</f>
        <v>2265.1621700000001</v>
      </c>
      <c r="P23" s="61">
        <f t="shared" si="2"/>
        <v>1267.15173</v>
      </c>
      <c r="Q23" s="134">
        <f t="shared" si="2"/>
        <v>1115.0361800000001</v>
      </c>
      <c r="R23" s="135">
        <f t="shared" si="2"/>
        <v>152.11555000000001</v>
      </c>
    </row>
    <row r="24" spans="1:18" s="51" customFormat="1" ht="19.2" customHeight="1" x14ac:dyDescent="0.3">
      <c r="A24" s="62" t="s">
        <v>32</v>
      </c>
      <c r="B24" s="15" t="s">
        <v>33</v>
      </c>
      <c r="C24" s="14" t="s">
        <v>27</v>
      </c>
      <c r="D24" s="61">
        <f>E24+F24</f>
        <v>43241.362070000003</v>
      </c>
      <c r="E24" s="134">
        <f>H24+K24+N24+Q24</f>
        <v>43241.362070000003</v>
      </c>
      <c r="F24" s="134">
        <f>I24+L24+O24+R24</f>
        <v>0</v>
      </c>
      <c r="G24" s="61">
        <f t="shared" ref="G24:G29" si="3">H24+I24</f>
        <v>26143.186379999999</v>
      </c>
      <c r="H24" s="134">
        <v>26143.186379999999</v>
      </c>
      <c r="I24" s="134"/>
      <c r="J24" s="61">
        <f t="shared" ref="J24:J29" si="4">K24+L24</f>
        <v>67.564329999999998</v>
      </c>
      <c r="K24" s="134">
        <v>67.564329999999998</v>
      </c>
      <c r="L24" s="134"/>
      <c r="M24" s="61">
        <f t="shared" ref="M24:M29" si="5">N24+O24</f>
        <v>15958.901330000001</v>
      </c>
      <c r="N24" s="134">
        <v>15958.901330000001</v>
      </c>
      <c r="O24" s="134"/>
      <c r="P24" s="61">
        <f t="shared" ref="P24:P29" si="6">Q24+R24</f>
        <v>1071.71003</v>
      </c>
      <c r="Q24" s="134">
        <v>1071.71003</v>
      </c>
      <c r="R24" s="135"/>
    </row>
    <row r="25" spans="1:18" s="51" customFormat="1" ht="19.2" customHeight="1" x14ac:dyDescent="0.3">
      <c r="A25" s="62" t="s">
        <v>34</v>
      </c>
      <c r="B25" s="15" t="s">
        <v>35</v>
      </c>
      <c r="C25" s="14" t="s">
        <v>27</v>
      </c>
      <c r="D25" s="61">
        <f t="shared" ref="D25" si="7">E25+F25</f>
        <v>3025.7981299999992</v>
      </c>
      <c r="E25" s="134">
        <f t="shared" ref="E25:F40" si="8">H25+K25+N25+Q25</f>
        <v>3025.7981299999992</v>
      </c>
      <c r="F25" s="134">
        <f t="shared" si="8"/>
        <v>0</v>
      </c>
      <c r="G25" s="61">
        <f t="shared" si="3"/>
        <v>2334.5680699999998</v>
      </c>
      <c r="H25" s="134">
        <v>2334.5680699999998</v>
      </c>
      <c r="I25" s="134"/>
      <c r="J25" s="61">
        <f t="shared" si="4"/>
        <v>2.73143</v>
      </c>
      <c r="K25" s="134">
        <v>2.73143</v>
      </c>
      <c r="L25" s="134"/>
      <c r="M25" s="61">
        <f t="shared" si="5"/>
        <v>645.17247999999995</v>
      </c>
      <c r="N25" s="134">
        <v>645.17247999999995</v>
      </c>
      <c r="O25" s="134"/>
      <c r="P25" s="61">
        <f t="shared" si="6"/>
        <v>43.326149999999998</v>
      </c>
      <c r="Q25" s="134">
        <v>43.326149999999998</v>
      </c>
      <c r="R25" s="135"/>
    </row>
    <row r="26" spans="1:18" s="51" customFormat="1" ht="19.2" customHeight="1" x14ac:dyDescent="0.3">
      <c r="A26" s="62" t="s">
        <v>36</v>
      </c>
      <c r="B26" s="15" t="s">
        <v>37</v>
      </c>
      <c r="C26" s="14" t="s">
        <v>27</v>
      </c>
      <c r="D26" s="61">
        <f t="shared" ref="D26:D31" si="9">E26+F26</f>
        <v>10623.39712</v>
      </c>
      <c r="E26" s="134">
        <f t="shared" si="8"/>
        <v>0</v>
      </c>
      <c r="F26" s="134">
        <f t="shared" si="8"/>
        <v>10623.39712</v>
      </c>
      <c r="G26" s="61">
        <f t="shared" si="3"/>
        <v>8196.5295100000003</v>
      </c>
      <c r="H26" s="134"/>
      <c r="I26" s="134">
        <v>8196.5295100000003</v>
      </c>
      <c r="J26" s="61">
        <f t="shared" si="4"/>
        <v>9.5898900000000005</v>
      </c>
      <c r="K26" s="134"/>
      <c r="L26" s="134">
        <v>9.5898900000000005</v>
      </c>
      <c r="M26" s="61">
        <f t="shared" si="5"/>
        <v>2265.1621700000001</v>
      </c>
      <c r="N26" s="134"/>
      <c r="O26" s="134">
        <v>2265.1621700000001</v>
      </c>
      <c r="P26" s="61">
        <f t="shared" si="6"/>
        <v>152.11555000000001</v>
      </c>
      <c r="Q26" s="134"/>
      <c r="R26" s="135">
        <v>152.11555000000001</v>
      </c>
    </row>
    <row r="27" spans="1:18" s="51" customFormat="1" ht="19.2" customHeight="1" x14ac:dyDescent="0.3">
      <c r="A27" s="62" t="s">
        <v>38</v>
      </c>
      <c r="B27" s="16" t="s">
        <v>39</v>
      </c>
      <c r="C27" s="14" t="s">
        <v>27</v>
      </c>
      <c r="D27" s="61">
        <f t="shared" si="9"/>
        <v>5858.1283800000001</v>
      </c>
      <c r="E27" s="134">
        <f t="shared" si="8"/>
        <v>5858.1283800000001</v>
      </c>
      <c r="F27" s="134">
        <f t="shared" si="8"/>
        <v>0</v>
      </c>
      <c r="G27" s="61">
        <f t="shared" si="3"/>
        <v>4519.8651200000004</v>
      </c>
      <c r="H27" s="134">
        <v>4519.8651200000004</v>
      </c>
      <c r="I27" s="134"/>
      <c r="J27" s="61">
        <f t="shared" si="4"/>
        <v>5.2882199999999999</v>
      </c>
      <c r="K27" s="134">
        <v>5.2882199999999999</v>
      </c>
      <c r="L27" s="134"/>
      <c r="M27" s="61">
        <f t="shared" si="5"/>
        <v>1249.0929799999999</v>
      </c>
      <c r="N27" s="134">
        <v>1249.0929799999999</v>
      </c>
      <c r="O27" s="134"/>
      <c r="P27" s="61">
        <f t="shared" si="6"/>
        <v>83.882059999999996</v>
      </c>
      <c r="Q27" s="134">
        <v>83.882059999999996</v>
      </c>
      <c r="R27" s="135"/>
    </row>
    <row r="28" spans="1:18" s="51" customFormat="1" ht="90.6" customHeight="1" x14ac:dyDescent="0.3">
      <c r="A28" s="62" t="s">
        <v>40</v>
      </c>
      <c r="B28" s="17" t="s">
        <v>41</v>
      </c>
      <c r="C28" s="14" t="s">
        <v>27</v>
      </c>
      <c r="D28" s="61">
        <f t="shared" si="9"/>
        <v>0</v>
      </c>
      <c r="E28" s="134">
        <f t="shared" si="8"/>
        <v>0</v>
      </c>
      <c r="F28" s="134">
        <f t="shared" si="8"/>
        <v>0</v>
      </c>
      <c r="G28" s="61">
        <f t="shared" si="3"/>
        <v>0</v>
      </c>
      <c r="H28" s="134">
        <v>0</v>
      </c>
      <c r="I28" s="134"/>
      <c r="J28" s="61">
        <f t="shared" si="4"/>
        <v>0</v>
      </c>
      <c r="K28" s="134">
        <v>0</v>
      </c>
      <c r="L28" s="134"/>
      <c r="M28" s="61">
        <f t="shared" si="5"/>
        <v>0</v>
      </c>
      <c r="N28" s="134">
        <v>0</v>
      </c>
      <c r="O28" s="134"/>
      <c r="P28" s="61">
        <f t="shared" si="6"/>
        <v>0</v>
      </c>
      <c r="Q28" s="134">
        <v>0</v>
      </c>
      <c r="R28" s="135"/>
    </row>
    <row r="29" spans="1:18" s="51" customFormat="1" ht="35.4" customHeight="1" x14ac:dyDescent="0.3">
      <c r="A29" s="62" t="s">
        <v>46</v>
      </c>
      <c r="B29" s="66" t="s">
        <v>47</v>
      </c>
      <c r="C29" s="14" t="s">
        <v>27</v>
      </c>
      <c r="D29" s="61">
        <f t="shared" si="9"/>
        <v>212.19862000000003</v>
      </c>
      <c r="E29" s="134">
        <f t="shared" si="8"/>
        <v>0</v>
      </c>
      <c r="F29" s="134">
        <f t="shared" si="8"/>
        <v>212.19862000000003</v>
      </c>
      <c r="G29" s="61">
        <f t="shared" si="3"/>
        <v>163.72280000000001</v>
      </c>
      <c r="H29" s="134"/>
      <c r="I29" s="134">
        <v>163.72280000000001</v>
      </c>
      <c r="J29" s="61">
        <f t="shared" si="4"/>
        <v>0.19155</v>
      </c>
      <c r="K29" s="134"/>
      <c r="L29" s="134">
        <v>0.19155</v>
      </c>
      <c r="M29" s="61">
        <f t="shared" si="5"/>
        <v>45.245820000000002</v>
      </c>
      <c r="N29" s="134"/>
      <c r="O29" s="134">
        <v>45.245820000000002</v>
      </c>
      <c r="P29" s="61">
        <f t="shared" si="6"/>
        <v>3.0384500000000001</v>
      </c>
      <c r="Q29" s="134"/>
      <c r="R29" s="135">
        <v>3.0384500000000001</v>
      </c>
    </row>
    <row r="30" spans="1:18" s="51" customFormat="1" ht="18" customHeight="1" x14ac:dyDescent="0.3">
      <c r="A30" s="62" t="s">
        <v>48</v>
      </c>
      <c r="B30" s="64" t="s">
        <v>49</v>
      </c>
      <c r="C30" s="14" t="s">
        <v>27</v>
      </c>
      <c r="D30" s="61">
        <f t="shared" si="9"/>
        <v>715.86565999999993</v>
      </c>
      <c r="E30" s="134">
        <f t="shared" si="8"/>
        <v>0</v>
      </c>
      <c r="F30" s="134">
        <f t="shared" si="8"/>
        <v>715.86565999999993</v>
      </c>
      <c r="G30" s="61">
        <f t="shared" ref="G30" si="10">H30+I30</f>
        <v>552.32934999999998</v>
      </c>
      <c r="H30" s="134"/>
      <c r="I30" s="134">
        <v>552.32934999999998</v>
      </c>
      <c r="J30" s="61">
        <f t="shared" ref="J30:J31" si="11">K30+L30</f>
        <v>0.64622000000000002</v>
      </c>
      <c r="K30" s="134"/>
      <c r="L30" s="134">
        <v>0.64622000000000002</v>
      </c>
      <c r="M30" s="61">
        <f t="shared" ref="M30:M31" si="12">N30+O30</f>
        <v>152.63967</v>
      </c>
      <c r="N30" s="134"/>
      <c r="O30" s="134">
        <v>152.63967</v>
      </c>
      <c r="P30" s="61">
        <f t="shared" ref="P30:P31" si="13">Q30+R30</f>
        <v>10.25042</v>
      </c>
      <c r="Q30" s="134"/>
      <c r="R30" s="135">
        <v>10.25042</v>
      </c>
    </row>
    <row r="31" spans="1:18" s="51" customFormat="1" ht="18" customHeight="1" x14ac:dyDescent="0.3">
      <c r="A31" s="62" t="s">
        <v>50</v>
      </c>
      <c r="B31" s="64" t="s">
        <v>51</v>
      </c>
      <c r="C31" s="14" t="s">
        <v>27</v>
      </c>
      <c r="D31" s="61">
        <f t="shared" si="9"/>
        <v>16123.539079999999</v>
      </c>
      <c r="E31" s="134">
        <f t="shared" si="8"/>
        <v>0</v>
      </c>
      <c r="F31" s="134">
        <f t="shared" si="8"/>
        <v>16123.539079999999</v>
      </c>
      <c r="G31" s="61">
        <f>H31+I31</f>
        <v>12440.188599999999</v>
      </c>
      <c r="H31" s="134"/>
      <c r="I31" s="134">
        <v>12440.188599999999</v>
      </c>
      <c r="J31" s="61">
        <f t="shared" si="11"/>
        <v>14.55495</v>
      </c>
      <c r="K31" s="134"/>
      <c r="L31" s="134">
        <v>14.55495</v>
      </c>
      <c r="M31" s="61">
        <f t="shared" si="12"/>
        <v>3437.9238999999998</v>
      </c>
      <c r="N31" s="134"/>
      <c r="O31" s="134">
        <v>3437.9238999999998</v>
      </c>
      <c r="P31" s="61">
        <f t="shared" si="13"/>
        <v>230.87163000000001</v>
      </c>
      <c r="Q31" s="134"/>
      <c r="R31" s="135">
        <v>230.87163000000001</v>
      </c>
    </row>
    <row r="32" spans="1:18" s="51" customFormat="1" ht="18" customHeight="1" x14ac:dyDescent="0.3">
      <c r="A32" s="62" t="s">
        <v>52</v>
      </c>
      <c r="B32" s="64" t="s">
        <v>53</v>
      </c>
      <c r="C32" s="14" t="s">
        <v>27</v>
      </c>
      <c r="D32" s="61">
        <f>D33+D34+D35</f>
        <v>4377.1486199999999</v>
      </c>
      <c r="E32" s="134">
        <f t="shared" si="8"/>
        <v>0</v>
      </c>
      <c r="F32" s="134">
        <f t="shared" si="8"/>
        <v>4377.148619999999</v>
      </c>
      <c r="G32" s="61">
        <f>G33+G34+G35</f>
        <v>3377.2085699999998</v>
      </c>
      <c r="H32" s="134"/>
      <c r="I32" s="134">
        <f>I33+I34+I35</f>
        <v>3377.2085699999998</v>
      </c>
      <c r="J32" s="61">
        <f>J33+J34+J35</f>
        <v>3.9513199999999999</v>
      </c>
      <c r="K32" s="134"/>
      <c r="L32" s="134">
        <f>L33+L34+L35</f>
        <v>3.9513199999999999</v>
      </c>
      <c r="M32" s="61">
        <f>M33+M34+M35</f>
        <v>933.31269999999995</v>
      </c>
      <c r="N32" s="134"/>
      <c r="O32" s="134">
        <f>O33+O34+O35</f>
        <v>933.31269999999995</v>
      </c>
      <c r="P32" s="61">
        <f>P33+P34+P35</f>
        <v>62.676029999999997</v>
      </c>
      <c r="Q32" s="134"/>
      <c r="R32" s="134">
        <f>R33+R34+R35</f>
        <v>62.676029999999997</v>
      </c>
    </row>
    <row r="33" spans="1:18" s="51" customFormat="1" ht="27.6" customHeight="1" x14ac:dyDescent="0.3">
      <c r="A33" s="62" t="s">
        <v>54</v>
      </c>
      <c r="B33" s="65" t="s">
        <v>55</v>
      </c>
      <c r="C33" s="14" t="s">
        <v>27</v>
      </c>
      <c r="D33" s="61">
        <f>E33+F33</f>
        <v>3270.0357600000002</v>
      </c>
      <c r="E33" s="134">
        <f t="shared" si="8"/>
        <v>0</v>
      </c>
      <c r="F33" s="134">
        <f t="shared" si="8"/>
        <v>3270.0357600000002</v>
      </c>
      <c r="G33" s="61">
        <f t="shared" ref="G33:G38" si="14">H33+I33</f>
        <v>2523.0106999999998</v>
      </c>
      <c r="H33" s="134"/>
      <c r="I33" s="134">
        <v>2523.0106999999998</v>
      </c>
      <c r="J33" s="61">
        <f t="shared" ref="J33:J38" si="15">K33+L33</f>
        <v>2.9519099999999998</v>
      </c>
      <c r="K33" s="134"/>
      <c r="L33" s="134">
        <v>2.9519099999999998</v>
      </c>
      <c r="M33" s="61">
        <f t="shared" ref="M33:M38" si="16">N33+O33</f>
        <v>697.24977999999999</v>
      </c>
      <c r="N33" s="134"/>
      <c r="O33" s="134">
        <v>697.24977999999999</v>
      </c>
      <c r="P33" s="61">
        <f t="shared" ref="P33:P38" si="17">Q33+R33</f>
        <v>46.823369999999997</v>
      </c>
      <c r="Q33" s="134"/>
      <c r="R33" s="135">
        <v>46.823369999999997</v>
      </c>
    </row>
    <row r="34" spans="1:18" s="51" customFormat="1" ht="21" customHeight="1" x14ac:dyDescent="0.3">
      <c r="A34" s="62" t="s">
        <v>56</v>
      </c>
      <c r="B34" s="16" t="s">
        <v>57</v>
      </c>
      <c r="C34" s="14" t="s">
        <v>27</v>
      </c>
      <c r="D34" s="61">
        <f t="shared" ref="D34:D38" si="18">E34+F34</f>
        <v>0</v>
      </c>
      <c r="E34" s="134">
        <f t="shared" si="8"/>
        <v>0</v>
      </c>
      <c r="F34" s="134">
        <f t="shared" si="8"/>
        <v>0</v>
      </c>
      <c r="G34" s="61">
        <f t="shared" si="14"/>
        <v>0</v>
      </c>
      <c r="H34" s="134"/>
      <c r="I34" s="134">
        <v>0</v>
      </c>
      <c r="J34" s="61">
        <f t="shared" si="15"/>
        <v>0</v>
      </c>
      <c r="K34" s="134"/>
      <c r="L34" s="134">
        <v>0</v>
      </c>
      <c r="M34" s="61">
        <f t="shared" si="16"/>
        <v>0</v>
      </c>
      <c r="N34" s="134"/>
      <c r="O34" s="134">
        <v>0</v>
      </c>
      <c r="P34" s="61">
        <f t="shared" si="17"/>
        <v>0</v>
      </c>
      <c r="Q34" s="134"/>
      <c r="R34" s="135">
        <v>0</v>
      </c>
    </row>
    <row r="35" spans="1:18" s="51" customFormat="1" ht="21" customHeight="1" x14ac:dyDescent="0.3">
      <c r="A35" s="62" t="s">
        <v>58</v>
      </c>
      <c r="B35" s="16" t="s">
        <v>59</v>
      </c>
      <c r="C35" s="14" t="s">
        <v>27</v>
      </c>
      <c r="D35" s="61">
        <f t="shared" si="18"/>
        <v>1107.11286</v>
      </c>
      <c r="E35" s="134">
        <f t="shared" si="8"/>
        <v>0</v>
      </c>
      <c r="F35" s="134">
        <f t="shared" si="8"/>
        <v>1107.11286</v>
      </c>
      <c r="G35" s="61">
        <f t="shared" si="14"/>
        <v>854.19786999999997</v>
      </c>
      <c r="H35" s="134"/>
      <c r="I35" s="134">
        <v>854.19786999999997</v>
      </c>
      <c r="J35" s="61">
        <f t="shared" si="15"/>
        <v>0.99941000000000002</v>
      </c>
      <c r="K35" s="134"/>
      <c r="L35" s="134">
        <v>0.99941000000000002</v>
      </c>
      <c r="M35" s="61">
        <f t="shared" si="16"/>
        <v>236.06291999999999</v>
      </c>
      <c r="N35" s="134"/>
      <c r="O35" s="134">
        <v>236.06291999999999</v>
      </c>
      <c r="P35" s="61">
        <f t="shared" si="17"/>
        <v>15.85266</v>
      </c>
      <c r="Q35" s="134"/>
      <c r="R35" s="135">
        <v>15.85266</v>
      </c>
    </row>
    <row r="36" spans="1:18" s="51" customFormat="1" ht="21" customHeight="1" x14ac:dyDescent="0.3">
      <c r="A36" s="62" t="s">
        <v>60</v>
      </c>
      <c r="B36" s="67" t="s">
        <v>61</v>
      </c>
      <c r="C36" s="14" t="s">
        <v>27</v>
      </c>
      <c r="D36" s="61">
        <f t="shared" si="18"/>
        <v>3505.1110999999996</v>
      </c>
      <c r="E36" s="134">
        <f t="shared" si="8"/>
        <v>0</v>
      </c>
      <c r="F36" s="134">
        <f t="shared" si="8"/>
        <v>3505.1110999999996</v>
      </c>
      <c r="G36" s="61">
        <f>H36+I36</f>
        <v>2704.3841299999999</v>
      </c>
      <c r="H36" s="134"/>
      <c r="I36" s="134">
        <f>I37+I38+I39</f>
        <v>2704.3841299999999</v>
      </c>
      <c r="J36" s="61">
        <f t="shared" si="15"/>
        <v>3.16412</v>
      </c>
      <c r="K36" s="134"/>
      <c r="L36" s="134">
        <f>L37+L38+L39</f>
        <v>3.16412</v>
      </c>
      <c r="M36" s="61">
        <f t="shared" si="16"/>
        <v>747.37346000000002</v>
      </c>
      <c r="N36" s="134"/>
      <c r="O36" s="134">
        <f>O37+O38+O39</f>
        <v>747.37346000000002</v>
      </c>
      <c r="P36" s="61">
        <f t="shared" si="17"/>
        <v>50.189389999999996</v>
      </c>
      <c r="Q36" s="134"/>
      <c r="R36" s="134">
        <f>R37+R38+R39</f>
        <v>50.189389999999996</v>
      </c>
    </row>
    <row r="37" spans="1:18" s="51" customFormat="1" ht="21" customHeight="1" x14ac:dyDescent="0.3">
      <c r="A37" s="62" t="s">
        <v>62</v>
      </c>
      <c r="B37" s="16" t="s">
        <v>63</v>
      </c>
      <c r="C37" s="14" t="s">
        <v>27</v>
      </c>
      <c r="D37" s="61">
        <f>E37+F37</f>
        <v>2530.2229499999999</v>
      </c>
      <c r="E37" s="134">
        <f t="shared" si="8"/>
        <v>0</v>
      </c>
      <c r="F37" s="134">
        <f t="shared" si="8"/>
        <v>2530.2229499999999</v>
      </c>
      <c r="G37" s="61">
        <f t="shared" si="14"/>
        <v>1952.2048199999999</v>
      </c>
      <c r="H37" s="134"/>
      <c r="I37" s="134">
        <v>1952.2048199999999</v>
      </c>
      <c r="J37" s="61">
        <f t="shared" si="15"/>
        <v>2.2840699999999998</v>
      </c>
      <c r="K37" s="134"/>
      <c r="L37" s="134">
        <v>2.2840699999999998</v>
      </c>
      <c r="M37" s="61">
        <f t="shared" si="16"/>
        <v>539.50400999999999</v>
      </c>
      <c r="N37" s="134"/>
      <c r="O37" s="134">
        <v>539.50400999999999</v>
      </c>
      <c r="P37" s="61">
        <f t="shared" si="17"/>
        <v>36.230049999999999</v>
      </c>
      <c r="Q37" s="134"/>
      <c r="R37" s="135">
        <v>36.230049999999999</v>
      </c>
    </row>
    <row r="38" spans="1:18" s="51" customFormat="1" ht="29.4" customHeight="1" x14ac:dyDescent="0.3">
      <c r="A38" s="62" t="s">
        <v>64</v>
      </c>
      <c r="B38" s="65" t="s">
        <v>55</v>
      </c>
      <c r="C38" s="14" t="s">
        <v>27</v>
      </c>
      <c r="D38" s="61">
        <f t="shared" si="18"/>
        <v>493.30151000000001</v>
      </c>
      <c r="E38" s="134">
        <f t="shared" si="8"/>
        <v>0</v>
      </c>
      <c r="F38" s="134">
        <f t="shared" si="8"/>
        <v>493.30151000000001</v>
      </c>
      <c r="G38" s="61">
        <f t="shared" si="14"/>
        <v>380.60899000000001</v>
      </c>
      <c r="H38" s="134"/>
      <c r="I38" s="134">
        <v>380.60899000000001</v>
      </c>
      <c r="J38" s="61">
        <f t="shared" si="15"/>
        <v>0.44530999999999998</v>
      </c>
      <c r="K38" s="134"/>
      <c r="L38" s="134">
        <v>0.44530999999999998</v>
      </c>
      <c r="M38" s="61">
        <f t="shared" si="16"/>
        <v>105.18367000000001</v>
      </c>
      <c r="N38" s="134"/>
      <c r="O38" s="134">
        <v>105.18367000000001</v>
      </c>
      <c r="P38" s="61">
        <f t="shared" si="17"/>
        <v>7.0635399999999997</v>
      </c>
      <c r="Q38" s="134"/>
      <c r="R38" s="135">
        <v>7.0635399999999997</v>
      </c>
    </row>
    <row r="39" spans="1:18" s="51" customFormat="1" ht="20.399999999999999" customHeight="1" x14ac:dyDescent="0.3">
      <c r="A39" s="62" t="s">
        <v>65</v>
      </c>
      <c r="B39" s="16" t="s">
        <v>66</v>
      </c>
      <c r="C39" s="14" t="s">
        <v>27</v>
      </c>
      <c r="D39" s="61">
        <f>D36-D37-D38</f>
        <v>481.58663999999976</v>
      </c>
      <c r="E39" s="134">
        <f t="shared" si="8"/>
        <v>0</v>
      </c>
      <c r="F39" s="134">
        <f t="shared" si="8"/>
        <v>481.58663999999999</v>
      </c>
      <c r="G39" s="61">
        <f>G36-G37-G38</f>
        <v>371.57031999999998</v>
      </c>
      <c r="H39" s="134"/>
      <c r="I39" s="134">
        <v>371.57031999999998</v>
      </c>
      <c r="J39" s="61">
        <f>J36-J37-J38</f>
        <v>0.43474000000000024</v>
      </c>
      <c r="K39" s="134"/>
      <c r="L39" s="134">
        <v>0.43474000000000002</v>
      </c>
      <c r="M39" s="61">
        <f>M36-M37-M38</f>
        <v>102.68578000000002</v>
      </c>
      <c r="N39" s="134"/>
      <c r="O39" s="134">
        <v>102.68577999999999</v>
      </c>
      <c r="P39" s="61">
        <f>P36-P37-P38</f>
        <v>6.8957999999999977</v>
      </c>
      <c r="Q39" s="134"/>
      <c r="R39" s="135">
        <v>6.8958000000000004</v>
      </c>
    </row>
    <row r="40" spans="1:18" s="51" customFormat="1" ht="20.399999999999999" customHeight="1" x14ac:dyDescent="0.3">
      <c r="A40" s="62">
        <v>2</v>
      </c>
      <c r="B40" s="67" t="s">
        <v>67</v>
      </c>
      <c r="C40" s="14" t="s">
        <v>27</v>
      </c>
      <c r="D40" s="61">
        <f>E40+F40</f>
        <v>8839.9171399999996</v>
      </c>
      <c r="E40" s="134">
        <f t="shared" si="8"/>
        <v>0</v>
      </c>
      <c r="F40" s="134">
        <f t="shared" si="8"/>
        <v>8839.9171399999996</v>
      </c>
      <c r="G40" s="61">
        <f t="shared" ref="G40:G42" si="19">H40+I40</f>
        <v>6820.4775599999994</v>
      </c>
      <c r="H40" s="134"/>
      <c r="I40" s="134">
        <f>I41+I42+I43</f>
        <v>6820.4775599999994</v>
      </c>
      <c r="J40" s="61">
        <f t="shared" ref="J40:J42" si="20">K40+L40</f>
        <v>7.9799199999999999</v>
      </c>
      <c r="K40" s="134"/>
      <c r="L40" s="134">
        <f>L41+L42+L43</f>
        <v>7.9799199999999999</v>
      </c>
      <c r="M40" s="61">
        <f t="shared" ref="M40:M42" si="21">N40+O40</f>
        <v>1884.8816199999999</v>
      </c>
      <c r="N40" s="134"/>
      <c r="O40" s="134">
        <f>O41+O42+O43</f>
        <v>1884.8816199999999</v>
      </c>
      <c r="P40" s="61">
        <f t="shared" ref="P40:P42" si="22">Q40+R40</f>
        <v>126.57804</v>
      </c>
      <c r="Q40" s="134"/>
      <c r="R40" s="134">
        <f>R41+R42+R43</f>
        <v>126.57804</v>
      </c>
    </row>
    <row r="41" spans="1:18" s="51" customFormat="1" ht="20.399999999999999" customHeight="1" x14ac:dyDescent="0.3">
      <c r="A41" s="62" t="s">
        <v>68</v>
      </c>
      <c r="B41" s="16" t="s">
        <v>63</v>
      </c>
      <c r="C41" s="14" t="s">
        <v>27</v>
      </c>
      <c r="D41" s="61">
        <f t="shared" ref="D41:D42" si="23">E41+F41</f>
        <v>6963.2003700000005</v>
      </c>
      <c r="E41" s="134">
        <f>H41+K41+N41+Q41</f>
        <v>0</v>
      </c>
      <c r="F41" s="134">
        <f>I41+L41+O41+R41</f>
        <v>6963.2003700000005</v>
      </c>
      <c r="G41" s="61">
        <f t="shared" si="19"/>
        <v>5372.4883499999996</v>
      </c>
      <c r="H41" s="134"/>
      <c r="I41" s="134">
        <v>5372.4883499999996</v>
      </c>
      <c r="J41" s="61">
        <f t="shared" si="20"/>
        <v>6.2857799999999999</v>
      </c>
      <c r="K41" s="134"/>
      <c r="L41" s="134">
        <v>6.2857799999999999</v>
      </c>
      <c r="M41" s="61">
        <f t="shared" si="21"/>
        <v>1484.72075</v>
      </c>
      <c r="N41" s="134"/>
      <c r="O41" s="134">
        <v>1484.72075</v>
      </c>
      <c r="P41" s="61">
        <f t="shared" si="22"/>
        <v>99.705489999999998</v>
      </c>
      <c r="Q41" s="134"/>
      <c r="R41" s="135">
        <v>99.705489999999998</v>
      </c>
    </row>
    <row r="42" spans="1:18" s="51" customFormat="1" ht="33" customHeight="1" x14ac:dyDescent="0.3">
      <c r="A42" s="62" t="s">
        <v>69</v>
      </c>
      <c r="B42" s="65" t="s">
        <v>55</v>
      </c>
      <c r="C42" s="14" t="s">
        <v>27</v>
      </c>
      <c r="D42" s="61">
        <f t="shared" si="23"/>
        <v>1531.9040799999998</v>
      </c>
      <c r="E42" s="134">
        <f t="shared" ref="E42:F49" si="24">H42+K42+N42+Q42</f>
        <v>0</v>
      </c>
      <c r="F42" s="134">
        <f t="shared" si="24"/>
        <v>1531.9040799999998</v>
      </c>
      <c r="G42" s="61">
        <f t="shared" si="19"/>
        <v>1181.9474399999999</v>
      </c>
      <c r="H42" s="134"/>
      <c r="I42" s="134">
        <v>1181.9474399999999</v>
      </c>
      <c r="J42" s="61">
        <f t="shared" si="20"/>
        <v>1.38287</v>
      </c>
      <c r="K42" s="134"/>
      <c r="L42" s="134">
        <v>1.38287</v>
      </c>
      <c r="M42" s="61">
        <f t="shared" si="21"/>
        <v>326.63855999999998</v>
      </c>
      <c r="N42" s="134"/>
      <c r="O42" s="134">
        <v>326.63855999999998</v>
      </c>
      <c r="P42" s="61">
        <f t="shared" si="22"/>
        <v>21.935210000000001</v>
      </c>
      <c r="Q42" s="134"/>
      <c r="R42" s="135">
        <v>21.935210000000001</v>
      </c>
    </row>
    <row r="43" spans="1:18" s="51" customFormat="1" ht="21" customHeight="1" x14ac:dyDescent="0.3">
      <c r="A43" s="62" t="s">
        <v>70</v>
      </c>
      <c r="B43" s="17" t="s">
        <v>66</v>
      </c>
      <c r="C43" s="14" t="s">
        <v>27</v>
      </c>
      <c r="D43" s="61">
        <f>F43</f>
        <v>344.81268999999998</v>
      </c>
      <c r="E43" s="134">
        <f t="shared" si="24"/>
        <v>0</v>
      </c>
      <c r="F43" s="134">
        <f t="shared" si="24"/>
        <v>344.81268999999998</v>
      </c>
      <c r="G43" s="61">
        <f t="shared" ref="G43:P43" si="25">G40-G41-G42</f>
        <v>266.04176999999981</v>
      </c>
      <c r="H43" s="134"/>
      <c r="I43" s="134">
        <v>266.04176999999999</v>
      </c>
      <c r="J43" s="61">
        <f t="shared" si="25"/>
        <v>0.31126999999999994</v>
      </c>
      <c r="K43" s="134"/>
      <c r="L43" s="134">
        <v>0.31126999999999999</v>
      </c>
      <c r="M43" s="61">
        <f t="shared" si="25"/>
        <v>73.522309999999948</v>
      </c>
      <c r="N43" s="134"/>
      <c r="O43" s="134">
        <v>73.522310000000004</v>
      </c>
      <c r="P43" s="61">
        <f t="shared" si="25"/>
        <v>4.9373400000000025</v>
      </c>
      <c r="Q43" s="134"/>
      <c r="R43" s="135">
        <v>4.9373399999999998</v>
      </c>
    </row>
    <row r="44" spans="1:18" s="51" customFormat="1" ht="21" customHeight="1" x14ac:dyDescent="0.3">
      <c r="A44" s="62" t="s">
        <v>71</v>
      </c>
      <c r="B44" s="66" t="s">
        <v>72</v>
      </c>
      <c r="C44" s="14" t="s">
        <v>27</v>
      </c>
      <c r="D44" s="61">
        <f>E44+F44</f>
        <v>0</v>
      </c>
      <c r="E44" s="134">
        <f t="shared" si="24"/>
        <v>0</v>
      </c>
      <c r="F44" s="134">
        <f t="shared" si="24"/>
        <v>0</v>
      </c>
      <c r="G44" s="61">
        <f t="shared" ref="G44:G46" si="26">H44+I44</f>
        <v>0</v>
      </c>
      <c r="H44" s="134"/>
      <c r="I44" s="134">
        <v>0</v>
      </c>
      <c r="J44" s="61">
        <f t="shared" ref="J44:J46" si="27">K44+L44</f>
        <v>0</v>
      </c>
      <c r="K44" s="134"/>
      <c r="L44" s="134">
        <v>0</v>
      </c>
      <c r="M44" s="61">
        <f t="shared" ref="M44:M46" si="28">N44+O44</f>
        <v>0</v>
      </c>
      <c r="N44" s="134"/>
      <c r="O44" s="134">
        <v>0</v>
      </c>
      <c r="P44" s="61">
        <f t="shared" ref="P44:P46" si="29">Q44+R44</f>
        <v>0</v>
      </c>
      <c r="Q44" s="134"/>
      <c r="R44" s="135">
        <v>0</v>
      </c>
    </row>
    <row r="45" spans="1:18" s="51" customFormat="1" ht="21" customHeight="1" x14ac:dyDescent="0.3">
      <c r="A45" s="62" t="s">
        <v>20</v>
      </c>
      <c r="B45" s="66" t="s">
        <v>63</v>
      </c>
      <c r="C45" s="14" t="s">
        <v>27</v>
      </c>
      <c r="D45" s="61">
        <f>E45+F45</f>
        <v>0</v>
      </c>
      <c r="E45" s="134">
        <f t="shared" si="24"/>
        <v>0</v>
      </c>
      <c r="F45" s="134">
        <f t="shared" si="24"/>
        <v>0</v>
      </c>
      <c r="G45" s="61">
        <f t="shared" si="26"/>
        <v>0</v>
      </c>
      <c r="H45" s="134"/>
      <c r="I45" s="134">
        <v>0</v>
      </c>
      <c r="J45" s="61">
        <f t="shared" si="27"/>
        <v>0</v>
      </c>
      <c r="K45" s="134"/>
      <c r="L45" s="134">
        <v>0</v>
      </c>
      <c r="M45" s="61">
        <f t="shared" si="28"/>
        <v>0</v>
      </c>
      <c r="N45" s="134"/>
      <c r="O45" s="134">
        <v>0</v>
      </c>
      <c r="P45" s="61">
        <f t="shared" si="29"/>
        <v>0</v>
      </c>
      <c r="Q45" s="134"/>
      <c r="R45" s="135">
        <v>0</v>
      </c>
    </row>
    <row r="46" spans="1:18" s="51" customFormat="1" ht="35.4" customHeight="1" x14ac:dyDescent="0.3">
      <c r="A46" s="62" t="s">
        <v>73</v>
      </c>
      <c r="B46" s="65" t="s">
        <v>55</v>
      </c>
      <c r="C46" s="14" t="s">
        <v>27</v>
      </c>
      <c r="D46" s="61">
        <f t="shared" ref="D46" si="30">E46+F46</f>
        <v>0</v>
      </c>
      <c r="E46" s="134">
        <f t="shared" si="24"/>
        <v>0</v>
      </c>
      <c r="F46" s="134">
        <f t="shared" si="24"/>
        <v>0</v>
      </c>
      <c r="G46" s="61">
        <f t="shared" si="26"/>
        <v>0</v>
      </c>
      <c r="H46" s="134"/>
      <c r="I46" s="134">
        <v>0</v>
      </c>
      <c r="J46" s="61">
        <f t="shared" si="27"/>
        <v>0</v>
      </c>
      <c r="K46" s="134"/>
      <c r="L46" s="134">
        <v>0</v>
      </c>
      <c r="M46" s="61">
        <f t="shared" si="28"/>
        <v>0</v>
      </c>
      <c r="N46" s="134"/>
      <c r="O46" s="134">
        <v>0</v>
      </c>
      <c r="P46" s="61">
        <f t="shared" si="29"/>
        <v>0</v>
      </c>
      <c r="Q46" s="134"/>
      <c r="R46" s="135">
        <v>0</v>
      </c>
    </row>
    <row r="47" spans="1:18" s="51" customFormat="1" ht="21" customHeight="1" x14ac:dyDescent="0.3">
      <c r="A47" s="62" t="s">
        <v>74</v>
      </c>
      <c r="B47" s="66" t="s">
        <v>66</v>
      </c>
      <c r="C47" s="14" t="s">
        <v>27</v>
      </c>
      <c r="D47" s="61">
        <f>D44-D45-D46</f>
        <v>0</v>
      </c>
      <c r="E47" s="134">
        <f t="shared" si="24"/>
        <v>0</v>
      </c>
      <c r="F47" s="134">
        <f t="shared" si="24"/>
        <v>0</v>
      </c>
      <c r="G47" s="61">
        <f>G44-G45-G46</f>
        <v>0</v>
      </c>
      <c r="H47" s="134"/>
      <c r="I47" s="134">
        <v>0</v>
      </c>
      <c r="J47" s="61">
        <f t="shared" ref="J47:P47" si="31">J44-J45-J46</f>
        <v>0</v>
      </c>
      <c r="K47" s="134"/>
      <c r="L47" s="134">
        <v>0</v>
      </c>
      <c r="M47" s="61">
        <f t="shared" si="31"/>
        <v>0</v>
      </c>
      <c r="N47" s="134"/>
      <c r="O47" s="134">
        <v>0</v>
      </c>
      <c r="P47" s="61">
        <f t="shared" si="31"/>
        <v>0</v>
      </c>
      <c r="Q47" s="134"/>
      <c r="R47" s="135">
        <v>0</v>
      </c>
    </row>
    <row r="48" spans="1:18" s="51" customFormat="1" ht="21" customHeight="1" x14ac:dyDescent="0.3">
      <c r="A48" s="62" t="s">
        <v>24</v>
      </c>
      <c r="B48" s="65" t="s">
        <v>75</v>
      </c>
      <c r="C48" s="14" t="s">
        <v>27</v>
      </c>
      <c r="D48" s="61">
        <f>E48+F48</f>
        <v>0</v>
      </c>
      <c r="E48" s="134">
        <f t="shared" si="24"/>
        <v>0</v>
      </c>
      <c r="F48" s="134">
        <f t="shared" si="24"/>
        <v>0</v>
      </c>
      <c r="G48" s="61">
        <f t="shared" ref="G48:G49" si="32">H48+I48</f>
        <v>0</v>
      </c>
      <c r="H48" s="134"/>
      <c r="I48" s="134">
        <v>0</v>
      </c>
      <c r="J48" s="61">
        <f t="shared" ref="J48:J49" si="33">K48+L48</f>
        <v>0</v>
      </c>
      <c r="K48" s="134"/>
      <c r="L48" s="134">
        <v>0</v>
      </c>
      <c r="M48" s="61">
        <f t="shared" ref="M48:M49" si="34">N48+O48</f>
        <v>0</v>
      </c>
      <c r="N48" s="134"/>
      <c r="O48" s="134">
        <v>0</v>
      </c>
      <c r="P48" s="61">
        <f t="shared" ref="P48:P49" si="35">Q48+R48</f>
        <v>0</v>
      </c>
      <c r="Q48" s="134"/>
      <c r="R48" s="135">
        <v>0</v>
      </c>
    </row>
    <row r="49" spans="1:18" s="51" customFormat="1" ht="21" customHeight="1" x14ac:dyDescent="0.3">
      <c r="A49" s="62" t="s">
        <v>76</v>
      </c>
      <c r="B49" s="16" t="s">
        <v>77</v>
      </c>
      <c r="C49" s="14" t="s">
        <v>27</v>
      </c>
      <c r="D49" s="61">
        <f>E49+F49</f>
        <v>0</v>
      </c>
      <c r="E49" s="134">
        <f t="shared" si="24"/>
        <v>0</v>
      </c>
      <c r="F49" s="134">
        <f t="shared" si="24"/>
        <v>0</v>
      </c>
      <c r="G49" s="61">
        <f t="shared" si="32"/>
        <v>0</v>
      </c>
      <c r="H49" s="134"/>
      <c r="I49" s="134">
        <v>0</v>
      </c>
      <c r="J49" s="61">
        <f t="shared" si="33"/>
        <v>0</v>
      </c>
      <c r="K49" s="134"/>
      <c r="L49" s="134">
        <v>0</v>
      </c>
      <c r="M49" s="61">
        <f t="shared" si="34"/>
        <v>0</v>
      </c>
      <c r="N49" s="134"/>
      <c r="O49" s="134">
        <v>0</v>
      </c>
      <c r="P49" s="61">
        <f t="shared" si="35"/>
        <v>0</v>
      </c>
      <c r="Q49" s="134"/>
      <c r="R49" s="135">
        <v>0</v>
      </c>
    </row>
    <row r="50" spans="1:18" s="51" customFormat="1" ht="21" customHeight="1" x14ac:dyDescent="0.3">
      <c r="A50" s="62" t="s">
        <v>78</v>
      </c>
      <c r="B50" s="68" t="s">
        <v>79</v>
      </c>
      <c r="C50" s="18" t="s">
        <v>27</v>
      </c>
      <c r="D50" s="139">
        <f t="shared" ref="D50:R50" si="36">D49+D48+D44+D40+D21</f>
        <v>96522.465920000002</v>
      </c>
      <c r="E50" s="139">
        <f t="shared" si="36"/>
        <v>52125.28858</v>
      </c>
      <c r="F50" s="139">
        <f t="shared" si="36"/>
        <v>44397.177339999995</v>
      </c>
      <c r="G50" s="139">
        <f t="shared" si="36"/>
        <v>67252.460089999993</v>
      </c>
      <c r="H50" s="139">
        <f t="shared" si="36"/>
        <v>32997.619570000003</v>
      </c>
      <c r="I50" s="139">
        <f t="shared" si="36"/>
        <v>34254.840519999998</v>
      </c>
      <c r="J50" s="139">
        <f t="shared" si="36"/>
        <v>115.66194999999999</v>
      </c>
      <c r="K50" s="139">
        <f t="shared" si="36"/>
        <v>75.583979999999997</v>
      </c>
      <c r="L50" s="139">
        <f t="shared" si="36"/>
        <v>40.077970000000001</v>
      </c>
      <c r="M50" s="139">
        <f t="shared" si="36"/>
        <v>27319.706130000002</v>
      </c>
      <c r="N50" s="139">
        <f t="shared" si="36"/>
        <v>17853.166790000003</v>
      </c>
      <c r="O50" s="139">
        <f t="shared" si="36"/>
        <v>9466.5393399999994</v>
      </c>
      <c r="P50" s="139">
        <f t="shared" si="36"/>
        <v>1834.6377500000001</v>
      </c>
      <c r="Q50" s="139">
        <f t="shared" si="36"/>
        <v>1198.91824</v>
      </c>
      <c r="R50" s="140">
        <f t="shared" si="36"/>
        <v>635.71951000000001</v>
      </c>
    </row>
    <row r="51" spans="1:18" s="51" customFormat="1" ht="19.2" customHeight="1" x14ac:dyDescent="0.3">
      <c r="A51" s="62" t="s">
        <v>80</v>
      </c>
      <c r="B51" s="68" t="s">
        <v>81</v>
      </c>
      <c r="C51" s="18" t="s">
        <v>27</v>
      </c>
      <c r="D51" s="139">
        <v>0</v>
      </c>
      <c r="E51" s="141">
        <v>0</v>
      </c>
      <c r="F51" s="142">
        <v>0</v>
      </c>
      <c r="G51" s="139">
        <v>0</v>
      </c>
      <c r="H51" s="141">
        <v>0</v>
      </c>
      <c r="I51" s="135">
        <f t="shared" ref="I51" si="37">$H51*G$11</f>
        <v>0</v>
      </c>
      <c r="J51" s="139">
        <v>0</v>
      </c>
      <c r="K51" s="141">
        <v>0</v>
      </c>
      <c r="L51" s="142">
        <v>0</v>
      </c>
      <c r="M51" s="139">
        <v>0</v>
      </c>
      <c r="N51" s="141">
        <v>0</v>
      </c>
      <c r="O51" s="142">
        <v>0</v>
      </c>
      <c r="P51" s="139">
        <v>0</v>
      </c>
      <c r="Q51" s="141">
        <v>0</v>
      </c>
      <c r="R51" s="142">
        <v>0</v>
      </c>
    </row>
    <row r="52" spans="1:18" s="51" customFormat="1" ht="19.2" customHeight="1" x14ac:dyDescent="0.3">
      <c r="A52" s="62"/>
      <c r="B52" s="68"/>
      <c r="C52" s="18"/>
      <c r="D52" s="139"/>
      <c r="E52" s="141"/>
      <c r="F52" s="142"/>
      <c r="G52" s="143"/>
      <c r="H52" s="141"/>
      <c r="I52" s="142"/>
      <c r="J52" s="139"/>
      <c r="K52" s="141"/>
      <c r="L52" s="142"/>
      <c r="M52" s="139"/>
      <c r="N52" s="141"/>
      <c r="O52" s="142"/>
      <c r="P52" s="139"/>
      <c r="Q52" s="141"/>
      <c r="R52" s="142"/>
    </row>
    <row r="53" spans="1:18" s="51" customFormat="1" ht="19.2" customHeight="1" x14ac:dyDescent="0.3">
      <c r="A53" s="62" t="s">
        <v>82</v>
      </c>
      <c r="B53" s="69" t="s">
        <v>83</v>
      </c>
      <c r="C53" s="18" t="s">
        <v>27</v>
      </c>
      <c r="D53" s="139">
        <f>D54+D55+D56+D57+D58</f>
        <v>2354.2064858536587</v>
      </c>
      <c r="E53" s="141">
        <f t="shared" ref="E53" si="38">E54+E55+E56+E57+E58</f>
        <v>0</v>
      </c>
      <c r="F53" s="142">
        <f>F54+F55+F56+F57+F58</f>
        <v>2354.2064858536587</v>
      </c>
      <c r="G53" s="139">
        <f>G54+G55+G56+G57+G58</f>
        <v>1640.3039046341462</v>
      </c>
      <c r="H53" s="141">
        <f t="shared" ref="H53:R53" si="39">H54+H55+H56+H57+H58</f>
        <v>0</v>
      </c>
      <c r="I53" s="142">
        <f>I54+I55+I56+I57+I58</f>
        <v>1640.3039046341462</v>
      </c>
      <c r="J53" s="139">
        <f>J54+J55+J56+J57+J58</f>
        <v>2.8210231707317068</v>
      </c>
      <c r="K53" s="141">
        <f t="shared" si="39"/>
        <v>0</v>
      </c>
      <c r="L53" s="142">
        <f t="shared" si="39"/>
        <v>2.8210231707317068</v>
      </c>
      <c r="M53" s="139">
        <f t="shared" si="39"/>
        <v>666.33429585365855</v>
      </c>
      <c r="N53" s="141">
        <f t="shared" si="39"/>
        <v>0</v>
      </c>
      <c r="O53" s="142">
        <f t="shared" si="39"/>
        <v>666.33429585365855</v>
      </c>
      <c r="P53" s="139">
        <f>P54+P55+P56+P57+P58</f>
        <v>44.747262195121955</v>
      </c>
      <c r="Q53" s="141">
        <f t="shared" si="39"/>
        <v>0</v>
      </c>
      <c r="R53" s="142">
        <f t="shared" si="39"/>
        <v>44.747262195121955</v>
      </c>
    </row>
    <row r="54" spans="1:18" s="51" customFormat="1" ht="19.2" customHeight="1" x14ac:dyDescent="0.3">
      <c r="A54" s="62" t="s">
        <v>84</v>
      </c>
      <c r="B54" s="16" t="s">
        <v>85</v>
      </c>
      <c r="C54" s="14" t="s">
        <v>27</v>
      </c>
      <c r="D54" s="144">
        <f>E54+F54</f>
        <v>423.75716745365844</v>
      </c>
      <c r="E54" s="145"/>
      <c r="F54" s="146">
        <f>(F58)/(100%-18%)-(F58)</f>
        <v>423.75716745365844</v>
      </c>
      <c r="G54" s="144">
        <f>H54+I54</f>
        <v>295.2547028341462</v>
      </c>
      <c r="H54" s="145"/>
      <c r="I54" s="146">
        <f>(I58)/(100%-18%)-(I58)</f>
        <v>295.2547028341462</v>
      </c>
      <c r="J54" s="144">
        <f>K54+L54</f>
        <v>0.50778417073170701</v>
      </c>
      <c r="K54" s="145"/>
      <c r="L54" s="146">
        <f>(L58)/(100%-18%)-(L58)</f>
        <v>0.50778417073170701</v>
      </c>
      <c r="M54" s="144">
        <f>N54+O54</f>
        <v>119.94017325365849</v>
      </c>
      <c r="N54" s="145"/>
      <c r="O54" s="146">
        <f>(O58)/(100%-18%)-(O58)</f>
        <v>119.94017325365849</v>
      </c>
      <c r="P54" s="144">
        <f>Q54+R54</f>
        <v>8.0545071951219498</v>
      </c>
      <c r="Q54" s="145"/>
      <c r="R54" s="147">
        <f>(R58)/(100%-18%)-(R58)</f>
        <v>8.0545071951219498</v>
      </c>
    </row>
    <row r="55" spans="1:18" s="51" customFormat="1" ht="19.2" customHeight="1" x14ac:dyDescent="0.3">
      <c r="A55" s="62" t="s">
        <v>86</v>
      </c>
      <c r="B55" s="16" t="s">
        <v>87</v>
      </c>
      <c r="C55" s="14" t="s">
        <v>27</v>
      </c>
      <c r="D55" s="144">
        <f t="shared" ref="D55:D58" si="40">E55+F55</f>
        <v>0</v>
      </c>
      <c r="E55" s="145"/>
      <c r="F55" s="148">
        <f>I55+L55+O55+R55</f>
        <v>0</v>
      </c>
      <c r="G55" s="144">
        <f t="shared" ref="G55:G57" si="41">H55+I55</f>
        <v>0</v>
      </c>
      <c r="H55" s="145"/>
      <c r="I55" s="135">
        <v>0</v>
      </c>
      <c r="J55" s="144">
        <f t="shared" ref="J55:J58" si="42">K55+L55</f>
        <v>0</v>
      </c>
      <c r="K55" s="145"/>
      <c r="L55" s="135">
        <v>0</v>
      </c>
      <c r="M55" s="144">
        <f t="shared" ref="M55:M58" si="43">N55+O55</f>
        <v>0</v>
      </c>
      <c r="N55" s="145"/>
      <c r="O55" s="135">
        <v>0</v>
      </c>
      <c r="P55" s="144">
        <f t="shared" ref="P55:P58" si="44">Q55+R55</f>
        <v>0</v>
      </c>
      <c r="Q55" s="145"/>
      <c r="R55" s="135">
        <v>0</v>
      </c>
    </row>
    <row r="56" spans="1:18" s="51" customFormat="1" ht="19.2" customHeight="1" x14ac:dyDescent="0.3">
      <c r="A56" s="62" t="s">
        <v>88</v>
      </c>
      <c r="B56" s="16" t="s">
        <v>89</v>
      </c>
      <c r="C56" s="14" t="s">
        <v>27</v>
      </c>
      <c r="D56" s="144">
        <f t="shared" si="40"/>
        <v>0</v>
      </c>
      <c r="E56" s="145"/>
      <c r="F56" s="148">
        <f t="shared" ref="F56" si="45">I56+L56+O56+R56</f>
        <v>0</v>
      </c>
      <c r="G56" s="144">
        <f t="shared" si="41"/>
        <v>0</v>
      </c>
      <c r="H56" s="145"/>
      <c r="I56" s="135">
        <v>0</v>
      </c>
      <c r="J56" s="144">
        <f t="shared" si="42"/>
        <v>0</v>
      </c>
      <c r="K56" s="145"/>
      <c r="L56" s="135">
        <v>0</v>
      </c>
      <c r="M56" s="144">
        <f t="shared" si="43"/>
        <v>0</v>
      </c>
      <c r="N56" s="145"/>
      <c r="O56" s="135">
        <v>0</v>
      </c>
      <c r="P56" s="144">
        <f t="shared" si="44"/>
        <v>0</v>
      </c>
      <c r="Q56" s="145"/>
      <c r="R56" s="135">
        <v>0</v>
      </c>
    </row>
    <row r="57" spans="1:18" s="51" customFormat="1" ht="19.2" customHeight="1" x14ac:dyDescent="0.3">
      <c r="A57" s="62" t="s">
        <v>90</v>
      </c>
      <c r="B57" s="16" t="s">
        <v>91</v>
      </c>
      <c r="C57" s="14" t="s">
        <v>27</v>
      </c>
      <c r="D57" s="144">
        <f t="shared" si="40"/>
        <v>0</v>
      </c>
      <c r="E57" s="145"/>
      <c r="F57" s="148">
        <f>I57+L57+O57+R57</f>
        <v>0</v>
      </c>
      <c r="G57" s="144">
        <f t="shared" si="41"/>
        <v>0</v>
      </c>
      <c r="H57" s="145"/>
      <c r="I57" s="135">
        <v>0</v>
      </c>
      <c r="J57" s="144">
        <f t="shared" si="42"/>
        <v>0</v>
      </c>
      <c r="K57" s="145"/>
      <c r="L57" s="135">
        <v>0</v>
      </c>
      <c r="M57" s="144">
        <f t="shared" si="43"/>
        <v>0</v>
      </c>
      <c r="N57" s="145"/>
      <c r="O57" s="135">
        <v>0</v>
      </c>
      <c r="P57" s="144">
        <f t="shared" si="44"/>
        <v>0</v>
      </c>
      <c r="Q57" s="145"/>
      <c r="R57" s="135">
        <v>0</v>
      </c>
    </row>
    <row r="58" spans="1:18" s="51" customFormat="1" ht="19.2" customHeight="1" x14ac:dyDescent="0.3">
      <c r="A58" s="62" t="s">
        <v>92</v>
      </c>
      <c r="B58" s="16" t="s">
        <v>93</v>
      </c>
      <c r="C58" s="14" t="s">
        <v>27</v>
      </c>
      <c r="D58" s="144">
        <f t="shared" si="40"/>
        <v>1930.4493184000003</v>
      </c>
      <c r="E58" s="145"/>
      <c r="F58" s="149">
        <f>I58+L58+O58+R58</f>
        <v>1930.4493184000003</v>
      </c>
      <c r="G58" s="144">
        <f>H58+I58</f>
        <v>1345.0492018</v>
      </c>
      <c r="H58" s="145"/>
      <c r="I58" s="149">
        <f>G50*0.02</f>
        <v>1345.0492018</v>
      </c>
      <c r="J58" s="144">
        <f t="shared" si="42"/>
        <v>2.3132389999999998</v>
      </c>
      <c r="K58" s="145"/>
      <c r="L58" s="149">
        <f>J50*0.02</f>
        <v>2.3132389999999998</v>
      </c>
      <c r="M58" s="144">
        <f t="shared" si="43"/>
        <v>546.39412260000006</v>
      </c>
      <c r="N58" s="145"/>
      <c r="O58" s="149">
        <f>M50*0.02</f>
        <v>546.39412260000006</v>
      </c>
      <c r="P58" s="144">
        <f t="shared" si="44"/>
        <v>36.692755000000005</v>
      </c>
      <c r="Q58" s="145"/>
      <c r="R58" s="150">
        <f>P50*0.02</f>
        <v>36.692755000000005</v>
      </c>
    </row>
    <row r="59" spans="1:18" s="51" customFormat="1" ht="30" customHeight="1" thickBot="1" x14ac:dyDescent="0.35">
      <c r="A59" s="70" t="s">
        <v>94</v>
      </c>
      <c r="B59" s="71" t="s">
        <v>95</v>
      </c>
      <c r="C59" s="19" t="s">
        <v>27</v>
      </c>
      <c r="D59" s="151">
        <f>D53+D51+D50</f>
        <v>98876.672405853664</v>
      </c>
      <c r="E59" s="152">
        <f>E53+E51+E50</f>
        <v>52125.28858</v>
      </c>
      <c r="F59" s="153">
        <f>F53+F51+F50</f>
        <v>46751.383825853656</v>
      </c>
      <c r="G59" s="151">
        <f>G53+G51+G50</f>
        <v>68892.763994634137</v>
      </c>
      <c r="H59" s="152">
        <f t="shared" ref="H59" si="46">H53+H51+H50</f>
        <v>32997.619570000003</v>
      </c>
      <c r="I59" s="153">
        <f>I53+I51+I50</f>
        <v>35895.144424634142</v>
      </c>
      <c r="J59" s="151">
        <f>J53+J51+J50</f>
        <v>118.4829731707317</v>
      </c>
      <c r="K59" s="152">
        <f t="shared" ref="K59" si="47">K53+K51+K50</f>
        <v>75.583979999999997</v>
      </c>
      <c r="L59" s="153">
        <f>L53+L51+L50</f>
        <v>42.898993170731707</v>
      </c>
      <c r="M59" s="151">
        <f>M53+M51+M50</f>
        <v>27986.040425853662</v>
      </c>
      <c r="N59" s="152">
        <f t="shared" ref="N59" si="48">N53+N51+N50</f>
        <v>17853.166790000003</v>
      </c>
      <c r="O59" s="153">
        <f>O53+O51+O50</f>
        <v>10132.873635853657</v>
      </c>
      <c r="P59" s="151">
        <f>P53+P51+P50</f>
        <v>1879.385012195122</v>
      </c>
      <c r="Q59" s="152">
        <f t="shared" ref="Q59" si="49">Q53+Q51+Q50</f>
        <v>1198.91824</v>
      </c>
      <c r="R59" s="153">
        <f>R53+R51+R50</f>
        <v>680.46677219512196</v>
      </c>
    </row>
    <row r="60" spans="1:18" ht="15" customHeight="1" x14ac:dyDescent="0.3">
      <c r="A60" s="72"/>
      <c r="B60" s="73"/>
      <c r="C60" s="20"/>
      <c r="D60" s="21"/>
      <c r="E60" s="36"/>
      <c r="F60" s="37"/>
      <c r="G60" s="21"/>
      <c r="H60" s="36"/>
      <c r="I60" s="37"/>
      <c r="J60" s="22"/>
      <c r="K60" s="38"/>
      <c r="L60" s="37"/>
      <c r="M60" s="21"/>
      <c r="N60" s="36"/>
      <c r="O60" s="37"/>
      <c r="P60" s="21"/>
      <c r="Q60" s="36"/>
      <c r="R60" s="37"/>
    </row>
    <row r="61" spans="1:18" s="51" customFormat="1" ht="35.4" customHeight="1" x14ac:dyDescent="0.3">
      <c r="A61" s="90" t="s">
        <v>131</v>
      </c>
      <c r="B61" s="39" t="s">
        <v>132</v>
      </c>
      <c r="C61" s="40" t="s">
        <v>133</v>
      </c>
      <c r="D61" s="154" t="s">
        <v>129</v>
      </c>
      <c r="E61" s="155" t="s">
        <v>129</v>
      </c>
      <c r="F61" s="156" t="s">
        <v>129</v>
      </c>
      <c r="G61" s="154" t="s">
        <v>129</v>
      </c>
      <c r="H61" s="155" t="s">
        <v>129</v>
      </c>
      <c r="I61" s="156" t="s">
        <v>129</v>
      </c>
      <c r="J61" s="154" t="s">
        <v>129</v>
      </c>
      <c r="K61" s="155" t="s">
        <v>129</v>
      </c>
      <c r="L61" s="156" t="s">
        <v>129</v>
      </c>
      <c r="M61" s="154" t="s">
        <v>129</v>
      </c>
      <c r="N61" s="155" t="s">
        <v>129</v>
      </c>
      <c r="O61" s="156" t="s">
        <v>129</v>
      </c>
      <c r="P61" s="154" t="s">
        <v>129</v>
      </c>
      <c r="Q61" s="155" t="s">
        <v>129</v>
      </c>
      <c r="R61" s="156" t="s">
        <v>129</v>
      </c>
    </row>
    <row r="62" spans="1:18" s="51" customFormat="1" ht="22.8" customHeight="1" x14ac:dyDescent="0.3">
      <c r="A62" s="90" t="s">
        <v>134</v>
      </c>
      <c r="B62" s="41" t="s">
        <v>135</v>
      </c>
      <c r="C62" s="40" t="s">
        <v>136</v>
      </c>
      <c r="D62" s="157">
        <f>E62</f>
        <v>1313.2749322889272</v>
      </c>
      <c r="E62" s="158">
        <f>E59/E19</f>
        <v>1313.2749322889272</v>
      </c>
      <c r="F62" s="159" t="s">
        <v>129</v>
      </c>
      <c r="G62" s="157">
        <f>H62</f>
        <v>1077.5147038304133</v>
      </c>
      <c r="H62" s="158">
        <f>H59/H19</f>
        <v>1077.5147038304133</v>
      </c>
      <c r="I62" s="159" t="s">
        <v>129</v>
      </c>
      <c r="J62" s="157">
        <f>K62</f>
        <v>2109.5266061959251</v>
      </c>
      <c r="K62" s="158">
        <f>K59/K19+0.01</f>
        <v>2109.5266061959251</v>
      </c>
      <c r="L62" s="159" t="s">
        <v>129</v>
      </c>
      <c r="M62" s="157">
        <f>N62</f>
        <v>2109.5341462362726</v>
      </c>
      <c r="N62" s="158">
        <f>N59/N19</f>
        <v>2109.5341462362726</v>
      </c>
      <c r="O62" s="159" t="s">
        <v>129</v>
      </c>
      <c r="P62" s="157">
        <f>Q62</f>
        <v>2109.5347973811126</v>
      </c>
      <c r="Q62" s="158">
        <f>Q59/Q19</f>
        <v>2109.5347973811126</v>
      </c>
      <c r="R62" s="159" t="s">
        <v>129</v>
      </c>
    </row>
    <row r="63" spans="1:18" s="51" customFormat="1" ht="35.4" customHeight="1" x14ac:dyDescent="0.3">
      <c r="A63" s="90" t="s">
        <v>137</v>
      </c>
      <c r="B63" s="41" t="s">
        <v>144</v>
      </c>
      <c r="C63" s="40" t="s">
        <v>138</v>
      </c>
      <c r="D63" s="160">
        <f>F63</f>
        <v>1616978.7715424881</v>
      </c>
      <c r="E63" s="161" t="s">
        <v>129</v>
      </c>
      <c r="F63" s="162">
        <f>F59/F15*1000</f>
        <v>1616978.7715424881</v>
      </c>
      <c r="G63" s="160">
        <f>I63</f>
        <v>1609084.9131081568</v>
      </c>
      <c r="H63" s="161" t="s">
        <v>129</v>
      </c>
      <c r="I63" s="162">
        <f>I59/I15*1000</f>
        <v>1609084.9131081568</v>
      </c>
      <c r="J63" s="160">
        <f>L63</f>
        <v>1643639.5750855058</v>
      </c>
      <c r="K63" s="161" t="s">
        <v>129</v>
      </c>
      <c r="L63" s="162">
        <f>L59/L15*1000-0.01</f>
        <v>1643639.5750855058</v>
      </c>
      <c r="M63" s="160">
        <f>O63</f>
        <v>1643639.5782338169</v>
      </c>
      <c r="N63" s="161" t="s">
        <v>129</v>
      </c>
      <c r="O63" s="162">
        <f>O59/O15*1000</f>
        <v>1643639.5782338169</v>
      </c>
      <c r="P63" s="160">
        <f>R63</f>
        <v>1643639.576365029</v>
      </c>
      <c r="Q63" s="161" t="s">
        <v>129</v>
      </c>
      <c r="R63" s="162">
        <f>R59/R15*1000+0.03</f>
        <v>1643639.576365029</v>
      </c>
    </row>
    <row r="64" spans="1:18" s="51" customFormat="1" ht="35.4" customHeight="1" thickBot="1" x14ac:dyDescent="0.35">
      <c r="A64" s="90" t="s">
        <v>139</v>
      </c>
      <c r="B64" s="42" t="s">
        <v>146</v>
      </c>
      <c r="C64" s="43" t="s">
        <v>138</v>
      </c>
      <c r="D64" s="163">
        <f t="shared" ref="D64:R64" si="50">IFERROR(D63/12,"х")</f>
        <v>134748.23096187401</v>
      </c>
      <c r="E64" s="164" t="str">
        <f t="shared" si="50"/>
        <v>х</v>
      </c>
      <c r="F64" s="165">
        <f>IFERROR(F63/12,"х")</f>
        <v>134748.23096187401</v>
      </c>
      <c r="G64" s="163">
        <f t="shared" si="50"/>
        <v>134090.40942567974</v>
      </c>
      <c r="H64" s="164" t="str">
        <f t="shared" si="50"/>
        <v>х</v>
      </c>
      <c r="I64" s="165">
        <f t="shared" si="50"/>
        <v>134090.40942567974</v>
      </c>
      <c r="J64" s="163">
        <f>L64</f>
        <v>136969.96459045881</v>
      </c>
      <c r="K64" s="164" t="str">
        <f t="shared" si="50"/>
        <v>х</v>
      </c>
      <c r="L64" s="163">
        <f>IFERROR(L63/12,"х")</f>
        <v>136969.96459045881</v>
      </c>
      <c r="M64" s="163">
        <f t="shared" si="50"/>
        <v>136969.96485281808</v>
      </c>
      <c r="N64" s="164" t="str">
        <f t="shared" si="50"/>
        <v>х</v>
      </c>
      <c r="O64" s="165">
        <f t="shared" si="50"/>
        <v>136969.96485281808</v>
      </c>
      <c r="P64" s="163">
        <f t="shared" si="50"/>
        <v>136969.96469708576</v>
      </c>
      <c r="Q64" s="164" t="str">
        <f t="shared" si="50"/>
        <v>х</v>
      </c>
      <c r="R64" s="165">
        <f t="shared" si="50"/>
        <v>136969.96469708576</v>
      </c>
    </row>
    <row r="65" spans="1:18" s="51" customFormat="1" ht="35.4" customHeight="1" x14ac:dyDescent="0.3">
      <c r="A65" s="91" t="s">
        <v>140</v>
      </c>
      <c r="B65" s="92" t="s">
        <v>141</v>
      </c>
      <c r="C65" s="93" t="s">
        <v>133</v>
      </c>
      <c r="D65" s="166" t="s">
        <v>129</v>
      </c>
      <c r="E65" s="167" t="s">
        <v>129</v>
      </c>
      <c r="F65" s="168" t="s">
        <v>129</v>
      </c>
      <c r="G65" s="166" t="s">
        <v>129</v>
      </c>
      <c r="H65" s="167" t="s">
        <v>129</v>
      </c>
      <c r="I65" s="168" t="s">
        <v>129</v>
      </c>
      <c r="J65" s="166" t="s">
        <v>129</v>
      </c>
      <c r="K65" s="167" t="s">
        <v>129</v>
      </c>
      <c r="L65" s="168" t="s">
        <v>129</v>
      </c>
      <c r="M65" s="166" t="s">
        <v>129</v>
      </c>
      <c r="N65" s="167" t="s">
        <v>129</v>
      </c>
      <c r="O65" s="168" t="s">
        <v>129</v>
      </c>
      <c r="P65" s="166" t="s">
        <v>129</v>
      </c>
      <c r="Q65" s="167" t="s">
        <v>129</v>
      </c>
      <c r="R65" s="168" t="s">
        <v>129</v>
      </c>
    </row>
    <row r="66" spans="1:18" s="51" customFormat="1" ht="26.4" customHeight="1" x14ac:dyDescent="0.3">
      <c r="A66" s="94" t="s">
        <v>142</v>
      </c>
      <c r="B66" s="95" t="s">
        <v>135</v>
      </c>
      <c r="C66" s="96" t="s">
        <v>136</v>
      </c>
      <c r="D66" s="169">
        <f>D62*1.2</f>
        <v>1575.9299187467125</v>
      </c>
      <c r="E66" s="170">
        <f>E62*1.2</f>
        <v>1575.9299187467125</v>
      </c>
      <c r="F66" s="171" t="s">
        <v>129</v>
      </c>
      <c r="G66" s="169">
        <f>G62*1.2</f>
        <v>1293.017644596496</v>
      </c>
      <c r="H66" s="170">
        <f>H62*1.2</f>
        <v>1293.017644596496</v>
      </c>
      <c r="I66" s="171" t="s">
        <v>129</v>
      </c>
      <c r="J66" s="169">
        <f>J62*1.2</f>
        <v>2531.4319274351101</v>
      </c>
      <c r="K66" s="170">
        <f>K62*1.2</f>
        <v>2531.4319274351101</v>
      </c>
      <c r="L66" s="171" t="s">
        <v>129</v>
      </c>
      <c r="M66" s="169">
        <f>M62*1.2</f>
        <v>2531.4409754835269</v>
      </c>
      <c r="N66" s="170">
        <f>N62*1.2</f>
        <v>2531.4409754835269</v>
      </c>
      <c r="O66" s="171" t="s">
        <v>129</v>
      </c>
      <c r="P66" s="169">
        <f>P62*1.2</f>
        <v>2531.4417568573349</v>
      </c>
      <c r="Q66" s="170">
        <f>Q62*1.2</f>
        <v>2531.4417568573349</v>
      </c>
      <c r="R66" s="171" t="s">
        <v>129</v>
      </c>
    </row>
    <row r="67" spans="1:18" s="51" customFormat="1" ht="35.4" customHeight="1" x14ac:dyDescent="0.3">
      <c r="A67" s="94" t="s">
        <v>143</v>
      </c>
      <c r="B67" s="95" t="s">
        <v>144</v>
      </c>
      <c r="C67" s="96" t="s">
        <v>138</v>
      </c>
      <c r="D67" s="172">
        <f>D63*1.2</f>
        <v>1940374.5258509857</v>
      </c>
      <c r="E67" s="173" t="s">
        <v>129</v>
      </c>
      <c r="F67" s="174">
        <f>F63*1.2</f>
        <v>1940374.5258509857</v>
      </c>
      <c r="G67" s="172">
        <f>G63*1.2</f>
        <v>1930901.8957297881</v>
      </c>
      <c r="H67" s="173" t="s">
        <v>129</v>
      </c>
      <c r="I67" s="174">
        <f>I63*1.2</f>
        <v>1930901.8957297881</v>
      </c>
      <c r="J67" s="172">
        <f>L67</f>
        <v>1972367.4901026068</v>
      </c>
      <c r="K67" s="173" t="s">
        <v>129</v>
      </c>
      <c r="L67" s="174">
        <f>L63*1.2</f>
        <v>1972367.4901026068</v>
      </c>
      <c r="M67" s="172">
        <f>M63*1.2</f>
        <v>1972367.4938805802</v>
      </c>
      <c r="N67" s="173" t="s">
        <v>129</v>
      </c>
      <c r="O67" s="174">
        <f>O63*1.2</f>
        <v>1972367.4938805802</v>
      </c>
      <c r="P67" s="172">
        <f>R67</f>
        <v>1972367.4916380346</v>
      </c>
      <c r="Q67" s="173" t="s">
        <v>129</v>
      </c>
      <c r="R67" s="174">
        <f>R63*1.2</f>
        <v>1972367.4916380346</v>
      </c>
    </row>
    <row r="68" spans="1:18" s="51" customFormat="1" ht="35.4" customHeight="1" thickBot="1" x14ac:dyDescent="0.35">
      <c r="A68" s="97" t="s">
        <v>145</v>
      </c>
      <c r="B68" s="98" t="s">
        <v>146</v>
      </c>
      <c r="C68" s="99" t="s">
        <v>138</v>
      </c>
      <c r="D68" s="175">
        <f t="shared" ref="D68:R68" si="51">IFERROR(D67/12,"х")</f>
        <v>161697.8771542488</v>
      </c>
      <c r="E68" s="176" t="str">
        <f t="shared" si="51"/>
        <v>х</v>
      </c>
      <c r="F68" s="177">
        <f t="shared" si="51"/>
        <v>161697.8771542488</v>
      </c>
      <c r="G68" s="175">
        <f t="shared" si="51"/>
        <v>160908.49131081568</v>
      </c>
      <c r="H68" s="176" t="str">
        <f t="shared" si="51"/>
        <v>х</v>
      </c>
      <c r="I68" s="177">
        <f t="shared" si="51"/>
        <v>160908.49131081568</v>
      </c>
      <c r="J68" s="175">
        <f t="shared" si="51"/>
        <v>164363.95750855058</v>
      </c>
      <c r="K68" s="176" t="str">
        <f t="shared" si="51"/>
        <v>х</v>
      </c>
      <c r="L68" s="177">
        <f t="shared" si="51"/>
        <v>164363.95750855058</v>
      </c>
      <c r="M68" s="175">
        <f t="shared" si="51"/>
        <v>164363.95782338167</v>
      </c>
      <c r="N68" s="176" t="str">
        <f t="shared" si="51"/>
        <v>х</v>
      </c>
      <c r="O68" s="177">
        <f t="shared" si="51"/>
        <v>164363.95782338167</v>
      </c>
      <c r="P68" s="175">
        <f t="shared" si="51"/>
        <v>164363.95763650289</v>
      </c>
      <c r="Q68" s="176" t="str">
        <f t="shared" si="51"/>
        <v>х</v>
      </c>
      <c r="R68" s="177">
        <f t="shared" si="51"/>
        <v>164363.95763650289</v>
      </c>
    </row>
    <row r="69" spans="1:18" s="51" customFormat="1" ht="35.4" customHeight="1" thickBot="1" x14ac:dyDescent="0.35">
      <c r="A69" s="100"/>
      <c r="B69" s="351" t="s">
        <v>101</v>
      </c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3"/>
    </row>
    <row r="70" spans="1:18" s="51" customFormat="1" ht="23.4" customHeight="1" x14ac:dyDescent="0.3">
      <c r="A70" s="49">
        <v>1</v>
      </c>
      <c r="B70" s="50" t="s">
        <v>26</v>
      </c>
      <c r="C70" s="23" t="s">
        <v>27</v>
      </c>
      <c r="D70" s="183">
        <f>D71+D77+D78+D82</f>
        <v>42605.199369999995</v>
      </c>
      <c r="E70" s="184">
        <f>E71+E77+E78+E82</f>
        <v>18842.29782</v>
      </c>
      <c r="F70" s="185">
        <f t="shared" ref="F70:R70" si="52">F71+F77+F78+F82</f>
        <v>23762.901549999999</v>
      </c>
      <c r="G70" s="183">
        <f>G71+G77+G78+G82</f>
        <v>32473.654059999997</v>
      </c>
      <c r="H70" s="184">
        <f t="shared" si="52"/>
        <v>14537.859060000001</v>
      </c>
      <c r="I70" s="185">
        <f t="shared" si="52"/>
        <v>17935.794999999998</v>
      </c>
      <c r="J70" s="183">
        <f t="shared" si="52"/>
        <v>40.035329999999995</v>
      </c>
      <c r="K70" s="184">
        <f t="shared" si="52"/>
        <v>17.009209999999999</v>
      </c>
      <c r="L70" s="185">
        <f t="shared" si="52"/>
        <v>23.026120000000002</v>
      </c>
      <c r="M70" s="183">
        <f t="shared" si="52"/>
        <v>9456.4668700000002</v>
      </c>
      <c r="N70" s="184">
        <f t="shared" si="52"/>
        <v>4017.62824</v>
      </c>
      <c r="O70" s="185">
        <f t="shared" si="52"/>
        <v>5438.8386300000002</v>
      </c>
      <c r="P70" s="183">
        <f t="shared" si="52"/>
        <v>635.04311000000007</v>
      </c>
      <c r="Q70" s="184">
        <f t="shared" si="52"/>
        <v>269.80131</v>
      </c>
      <c r="R70" s="185">
        <f t="shared" si="52"/>
        <v>365.24180000000001</v>
      </c>
    </row>
    <row r="71" spans="1:18" s="51" customFormat="1" ht="18.600000000000001" customHeight="1" x14ac:dyDescent="0.3">
      <c r="A71" s="49" t="s">
        <v>28</v>
      </c>
      <c r="B71" s="66" t="s">
        <v>29</v>
      </c>
      <c r="C71" s="24" t="s">
        <v>27</v>
      </c>
      <c r="D71" s="144">
        <f t="shared" ref="D71:H71" si="53">D72+D73+D74+D75</f>
        <v>23293.069989999996</v>
      </c>
      <c r="E71" s="179">
        <f>E72+E73+E74+E75</f>
        <v>18842.29782</v>
      </c>
      <c r="F71" s="180">
        <f t="shared" si="53"/>
        <v>4450.7721699999993</v>
      </c>
      <c r="G71" s="144">
        <f>G72+G73+G74+G75</f>
        <v>17573.29437</v>
      </c>
      <c r="H71" s="179">
        <f t="shared" si="53"/>
        <v>14537.859060000001</v>
      </c>
      <c r="I71" s="180">
        <f>I72+I73+I74+I75</f>
        <v>3035.4353099999998</v>
      </c>
      <c r="J71" s="144">
        <f t="shared" ref="J71:R71" si="54">J72+J73+J74+J75</f>
        <v>22.601989999999997</v>
      </c>
      <c r="K71" s="179">
        <f t="shared" si="54"/>
        <v>17.009209999999999</v>
      </c>
      <c r="L71" s="180">
        <f t="shared" si="54"/>
        <v>5.5927799999999994</v>
      </c>
      <c r="M71" s="144">
        <f t="shared" si="54"/>
        <v>5338.6592999999993</v>
      </c>
      <c r="N71" s="179">
        <f t="shared" si="54"/>
        <v>4017.62824</v>
      </c>
      <c r="O71" s="180">
        <f t="shared" si="54"/>
        <v>1321.03106</v>
      </c>
      <c r="P71" s="144">
        <f t="shared" si="54"/>
        <v>358.51433000000003</v>
      </c>
      <c r="Q71" s="179">
        <f t="shared" si="54"/>
        <v>269.80131</v>
      </c>
      <c r="R71" s="180">
        <f t="shared" si="54"/>
        <v>88.71302</v>
      </c>
    </row>
    <row r="72" spans="1:18" s="51" customFormat="1" ht="18.600000000000001" customHeight="1" x14ac:dyDescent="0.3">
      <c r="A72" s="49" t="s">
        <v>30</v>
      </c>
      <c r="B72" s="66" t="s">
        <v>39</v>
      </c>
      <c r="C72" s="24" t="s">
        <v>27</v>
      </c>
      <c r="D72" s="144">
        <f>E72+F72</f>
        <v>18842.29782</v>
      </c>
      <c r="E72" s="179">
        <f>H72+K72+N72+Q72</f>
        <v>18842.29782</v>
      </c>
      <c r="F72" s="179">
        <f>I72+L72+O72+R72</f>
        <v>0</v>
      </c>
      <c r="G72" s="144">
        <f>H72+I72</f>
        <v>14537.859060000001</v>
      </c>
      <c r="H72" s="179">
        <v>14537.859060000001</v>
      </c>
      <c r="I72" s="179"/>
      <c r="J72" s="144">
        <f>K72+L72</f>
        <v>17.009209999999999</v>
      </c>
      <c r="K72" s="179">
        <v>17.009209999999999</v>
      </c>
      <c r="L72" s="179"/>
      <c r="M72" s="144">
        <f>N72+O72</f>
        <v>4017.62824</v>
      </c>
      <c r="N72" s="179">
        <v>4017.62824</v>
      </c>
      <c r="O72" s="179"/>
      <c r="P72" s="144">
        <f>Q72+R72</f>
        <v>269.80131</v>
      </c>
      <c r="Q72" s="179">
        <v>269.80131</v>
      </c>
      <c r="R72" s="180"/>
    </row>
    <row r="73" spans="1:18" s="51" customFormat="1" ht="35.4" customHeight="1" x14ac:dyDescent="0.3">
      <c r="A73" s="74" t="s">
        <v>38</v>
      </c>
      <c r="B73" s="66" t="s">
        <v>102</v>
      </c>
      <c r="C73" s="24" t="s">
        <v>27</v>
      </c>
      <c r="D73" s="181">
        <v>0</v>
      </c>
      <c r="E73" s="179">
        <f t="shared" ref="E73:F95" si="55">H73+K73+N73+Q73</f>
        <v>0</v>
      </c>
      <c r="F73" s="179">
        <f t="shared" si="55"/>
        <v>0</v>
      </c>
      <c r="G73" s="181">
        <v>0</v>
      </c>
      <c r="H73" s="179">
        <v>0</v>
      </c>
      <c r="I73" s="179"/>
      <c r="J73" s="181">
        <v>0</v>
      </c>
      <c r="K73" s="179">
        <v>0</v>
      </c>
      <c r="L73" s="179"/>
      <c r="M73" s="181">
        <v>0</v>
      </c>
      <c r="N73" s="179">
        <v>0</v>
      </c>
      <c r="O73" s="179"/>
      <c r="P73" s="181">
        <v>0</v>
      </c>
      <c r="Q73" s="179">
        <v>0</v>
      </c>
      <c r="R73" s="180"/>
    </row>
    <row r="74" spans="1:18" s="51" customFormat="1" ht="35.4" customHeight="1" x14ac:dyDescent="0.3">
      <c r="A74" s="74" t="s">
        <v>40</v>
      </c>
      <c r="B74" s="66" t="s">
        <v>103</v>
      </c>
      <c r="C74" s="24" t="s">
        <v>27</v>
      </c>
      <c r="D74" s="144">
        <f>E74+F74</f>
        <v>7.5213600000000005</v>
      </c>
      <c r="E74" s="179">
        <f t="shared" si="55"/>
        <v>0</v>
      </c>
      <c r="F74" s="179">
        <f t="shared" si="55"/>
        <v>7.5213600000000005</v>
      </c>
      <c r="G74" s="144">
        <f>H74+I74</f>
        <v>5.80314</v>
      </c>
      <c r="H74" s="179"/>
      <c r="I74" s="179">
        <v>5.80314</v>
      </c>
      <c r="J74" s="144">
        <f t="shared" ref="J74:J89" si="56">K74+L74</f>
        <v>6.79E-3</v>
      </c>
      <c r="K74" s="179"/>
      <c r="L74" s="179">
        <v>6.79E-3</v>
      </c>
      <c r="M74" s="144">
        <f t="shared" ref="M74:M89" si="57">N74+O74</f>
        <v>1.6037300000000001</v>
      </c>
      <c r="N74" s="179"/>
      <c r="O74" s="179">
        <v>1.6037300000000001</v>
      </c>
      <c r="P74" s="144">
        <f t="shared" ref="P74:P89" si="58">Q74+R74</f>
        <v>0.1077</v>
      </c>
      <c r="Q74" s="179"/>
      <c r="R74" s="180">
        <v>0.1077</v>
      </c>
    </row>
    <row r="75" spans="1:18" s="51" customFormat="1" ht="19.2" customHeight="1" x14ac:dyDescent="0.3">
      <c r="A75" s="74" t="s">
        <v>46</v>
      </c>
      <c r="B75" s="66" t="s">
        <v>49</v>
      </c>
      <c r="C75" s="24" t="s">
        <v>27</v>
      </c>
      <c r="D75" s="144">
        <f>E75+F75</f>
        <v>4443.2508099999995</v>
      </c>
      <c r="E75" s="179">
        <f t="shared" si="55"/>
        <v>0</v>
      </c>
      <c r="F75" s="179">
        <f t="shared" si="55"/>
        <v>4443.2508099999995</v>
      </c>
      <c r="G75" s="144">
        <f>H75+I75</f>
        <v>3029.6321699999999</v>
      </c>
      <c r="H75" s="179"/>
      <c r="I75" s="179">
        <v>3029.6321699999999</v>
      </c>
      <c r="J75" s="144">
        <f t="shared" si="56"/>
        <v>5.5859899999999998</v>
      </c>
      <c r="K75" s="179"/>
      <c r="L75" s="179">
        <v>5.5859899999999998</v>
      </c>
      <c r="M75" s="144">
        <f t="shared" si="57"/>
        <v>1319.42733</v>
      </c>
      <c r="N75" s="179"/>
      <c r="O75" s="179">
        <v>1319.42733</v>
      </c>
      <c r="P75" s="144">
        <f t="shared" si="58"/>
        <v>88.605320000000006</v>
      </c>
      <c r="Q75" s="179"/>
      <c r="R75" s="180">
        <v>88.605320000000006</v>
      </c>
    </row>
    <row r="76" spans="1:18" s="51" customFormat="1" ht="35.4" customHeight="1" x14ac:dyDescent="0.3">
      <c r="A76" s="74" t="s">
        <v>104</v>
      </c>
      <c r="B76" s="25" t="s">
        <v>105</v>
      </c>
      <c r="C76" s="24" t="s">
        <v>27</v>
      </c>
      <c r="D76" s="182">
        <f>E76+F76</f>
        <v>2877.60815</v>
      </c>
      <c r="E76" s="179">
        <f t="shared" si="55"/>
        <v>0</v>
      </c>
      <c r="F76" s="179">
        <f>I76+L76+O76+R76</f>
        <v>2877.60815</v>
      </c>
      <c r="G76" s="182">
        <f>H76+I76</f>
        <v>1821.6535899999999</v>
      </c>
      <c r="H76" s="179"/>
      <c r="I76" s="179">
        <v>1821.6535899999999</v>
      </c>
      <c r="J76" s="182">
        <f t="shared" si="56"/>
        <v>4.1726599999999996</v>
      </c>
      <c r="K76" s="179"/>
      <c r="L76" s="179">
        <v>4.1726599999999996</v>
      </c>
      <c r="M76" s="182">
        <f t="shared" si="57"/>
        <v>985.59488999999996</v>
      </c>
      <c r="N76" s="179"/>
      <c r="O76" s="179">
        <v>985.59488999999996</v>
      </c>
      <c r="P76" s="182">
        <f t="shared" si="58"/>
        <v>66.187010000000001</v>
      </c>
      <c r="Q76" s="179"/>
      <c r="R76" s="180">
        <v>66.187010000000001</v>
      </c>
    </row>
    <row r="77" spans="1:18" s="51" customFormat="1" ht="22.8" customHeight="1" x14ac:dyDescent="0.3">
      <c r="A77" s="74" t="s">
        <v>50</v>
      </c>
      <c r="B77" s="75" t="s">
        <v>51</v>
      </c>
      <c r="C77" s="24" t="s">
        <v>27</v>
      </c>
      <c r="D77" s="144">
        <f t="shared" ref="D77:D95" si="59">E77+F77</f>
        <v>14300.532879999999</v>
      </c>
      <c r="E77" s="179">
        <f t="shared" si="55"/>
        <v>0</v>
      </c>
      <c r="F77" s="179">
        <f t="shared" si="55"/>
        <v>14300.532879999999</v>
      </c>
      <c r="G77" s="144">
        <f t="shared" ref="G77:G89" si="60">H77+I77</f>
        <v>11033.64003</v>
      </c>
      <c r="H77" s="179"/>
      <c r="I77" s="179">
        <v>11033.64003</v>
      </c>
      <c r="J77" s="144">
        <f t="shared" si="56"/>
        <v>12.9093</v>
      </c>
      <c r="K77" s="179"/>
      <c r="L77" s="179">
        <v>12.9093</v>
      </c>
      <c r="M77" s="144">
        <f t="shared" si="57"/>
        <v>3049.2154</v>
      </c>
      <c r="N77" s="179"/>
      <c r="O77" s="179">
        <v>3049.2154</v>
      </c>
      <c r="P77" s="144">
        <f t="shared" si="58"/>
        <v>204.76814999999999</v>
      </c>
      <c r="Q77" s="179"/>
      <c r="R77" s="180">
        <v>204.76814999999999</v>
      </c>
    </row>
    <row r="78" spans="1:18" s="51" customFormat="1" ht="19.8" customHeight="1" x14ac:dyDescent="0.3">
      <c r="A78" s="74" t="s">
        <v>52</v>
      </c>
      <c r="B78" s="66" t="s">
        <v>53</v>
      </c>
      <c r="C78" s="24" t="s">
        <v>27</v>
      </c>
      <c r="D78" s="144">
        <f>D79+D80+D81</f>
        <v>3423.4854900000005</v>
      </c>
      <c r="E78" s="179">
        <f t="shared" si="55"/>
        <v>0</v>
      </c>
      <c r="F78" s="179">
        <f t="shared" si="55"/>
        <v>3423.48549</v>
      </c>
      <c r="G78" s="144">
        <f>G79+G80+G81</f>
        <v>2641.4055200000003</v>
      </c>
      <c r="H78" s="179"/>
      <c r="I78" s="179">
        <f>I79+I80+I81</f>
        <v>2641.4055200000003</v>
      </c>
      <c r="J78" s="144">
        <f t="shared" ref="J78:P78" si="61">J79+J80+J81</f>
        <v>3.09043</v>
      </c>
      <c r="K78" s="179"/>
      <c r="L78" s="179">
        <f>L79+L80+L81</f>
        <v>3.09043</v>
      </c>
      <c r="M78" s="144">
        <f t="shared" si="61"/>
        <v>729.96893999999998</v>
      </c>
      <c r="N78" s="179"/>
      <c r="O78" s="179">
        <f>O79+O80+O81</f>
        <v>729.96893999999998</v>
      </c>
      <c r="P78" s="144">
        <f t="shared" si="61"/>
        <v>49.020599999999995</v>
      </c>
      <c r="Q78" s="179"/>
      <c r="R78" s="179">
        <f>R79+R80+R81</f>
        <v>49.020599999999995</v>
      </c>
    </row>
    <row r="79" spans="1:18" s="51" customFormat="1" ht="32.4" customHeight="1" x14ac:dyDescent="0.3">
      <c r="A79" s="74" t="s">
        <v>54</v>
      </c>
      <c r="B79" s="66" t="s">
        <v>55</v>
      </c>
      <c r="C79" s="24" t="s">
        <v>27</v>
      </c>
      <c r="D79" s="144">
        <f>E79+F79</f>
        <v>3054.6509200000005</v>
      </c>
      <c r="E79" s="179">
        <f t="shared" si="55"/>
        <v>0</v>
      </c>
      <c r="F79" s="179">
        <f>I79+L79+O79+R79</f>
        <v>3054.6509200000005</v>
      </c>
      <c r="G79" s="144">
        <f t="shared" si="60"/>
        <v>2356.8295600000001</v>
      </c>
      <c r="H79" s="179"/>
      <c r="I79" s="179">
        <v>2356.8295600000001</v>
      </c>
      <c r="J79" s="144">
        <f t="shared" si="56"/>
        <v>2.7574800000000002</v>
      </c>
      <c r="K79" s="179"/>
      <c r="L79" s="179">
        <v>2.7574800000000002</v>
      </c>
      <c r="M79" s="144">
        <f t="shared" si="57"/>
        <v>651.32458999999994</v>
      </c>
      <c r="N79" s="179"/>
      <c r="O79" s="179">
        <v>651.32458999999994</v>
      </c>
      <c r="P79" s="144">
        <f t="shared" si="58"/>
        <v>43.739289999999997</v>
      </c>
      <c r="Q79" s="179"/>
      <c r="R79" s="180">
        <v>43.739289999999997</v>
      </c>
    </row>
    <row r="80" spans="1:18" s="51" customFormat="1" ht="18.600000000000001" customHeight="1" x14ac:dyDescent="0.3">
      <c r="A80" s="74" t="s">
        <v>56</v>
      </c>
      <c r="B80" s="66" t="s">
        <v>106</v>
      </c>
      <c r="C80" s="24" t="s">
        <v>27</v>
      </c>
      <c r="D80" s="144">
        <f>E80+F80</f>
        <v>0</v>
      </c>
      <c r="E80" s="179">
        <f t="shared" si="55"/>
        <v>0</v>
      </c>
      <c r="F80" s="179">
        <f t="shared" si="55"/>
        <v>0</v>
      </c>
      <c r="G80" s="144">
        <f t="shared" si="60"/>
        <v>0</v>
      </c>
      <c r="H80" s="179"/>
      <c r="I80" s="179">
        <v>0</v>
      </c>
      <c r="J80" s="144">
        <f t="shared" si="56"/>
        <v>0</v>
      </c>
      <c r="K80" s="179"/>
      <c r="L80" s="179">
        <v>0</v>
      </c>
      <c r="M80" s="144">
        <f t="shared" si="57"/>
        <v>0</v>
      </c>
      <c r="N80" s="179"/>
      <c r="O80" s="179">
        <v>0</v>
      </c>
      <c r="P80" s="144">
        <f t="shared" si="58"/>
        <v>0</v>
      </c>
      <c r="Q80" s="179"/>
      <c r="R80" s="180">
        <v>0</v>
      </c>
    </row>
    <row r="81" spans="1:18" s="51" customFormat="1" ht="18.600000000000001" customHeight="1" x14ac:dyDescent="0.3">
      <c r="A81" s="74" t="s">
        <v>58</v>
      </c>
      <c r="B81" s="76" t="s">
        <v>107</v>
      </c>
      <c r="C81" s="24" t="s">
        <v>27</v>
      </c>
      <c r="D81" s="144">
        <f>E81+F81</f>
        <v>368.83457000000004</v>
      </c>
      <c r="E81" s="179">
        <f t="shared" si="55"/>
        <v>0</v>
      </c>
      <c r="F81" s="179">
        <f>I81+L81+O81+R81</f>
        <v>368.83457000000004</v>
      </c>
      <c r="G81" s="144">
        <f t="shared" si="60"/>
        <v>284.57596000000001</v>
      </c>
      <c r="H81" s="179"/>
      <c r="I81" s="179">
        <v>284.57596000000001</v>
      </c>
      <c r="J81" s="144">
        <f t="shared" si="56"/>
        <v>0.33295000000000002</v>
      </c>
      <c r="K81" s="179"/>
      <c r="L81" s="179">
        <v>0.33295000000000002</v>
      </c>
      <c r="M81" s="144">
        <f t="shared" si="57"/>
        <v>78.644350000000003</v>
      </c>
      <c r="N81" s="179"/>
      <c r="O81" s="179">
        <v>78.644350000000003</v>
      </c>
      <c r="P81" s="144">
        <f t="shared" si="58"/>
        <v>5.2813100000000004</v>
      </c>
      <c r="Q81" s="179"/>
      <c r="R81" s="180">
        <v>5.2813100000000004</v>
      </c>
    </row>
    <row r="82" spans="1:18" s="51" customFormat="1" ht="18.600000000000001" customHeight="1" x14ac:dyDescent="0.3">
      <c r="A82" s="74" t="s">
        <v>60</v>
      </c>
      <c r="B82" s="64" t="s">
        <v>61</v>
      </c>
      <c r="C82" s="24" t="s">
        <v>27</v>
      </c>
      <c r="D82" s="144">
        <f>D83+D84+D85</f>
        <v>1588.1110100000001</v>
      </c>
      <c r="E82" s="179">
        <f t="shared" si="55"/>
        <v>0</v>
      </c>
      <c r="F82" s="179">
        <f t="shared" si="55"/>
        <v>1588.1110100000001</v>
      </c>
      <c r="G82" s="144">
        <f>G83+G84+G85</f>
        <v>1225.31414</v>
      </c>
      <c r="H82" s="179"/>
      <c r="I82" s="179">
        <f>I83+I84+I85</f>
        <v>1225.31414</v>
      </c>
      <c r="J82" s="144">
        <f t="shared" ref="J82:P82" si="62">J83+J84+J85</f>
        <v>1.4336100000000001</v>
      </c>
      <c r="K82" s="179"/>
      <c r="L82" s="179">
        <f>L83+L84+L85</f>
        <v>1.4336100000000001</v>
      </c>
      <c r="M82" s="144">
        <f t="shared" si="62"/>
        <v>338.62323000000004</v>
      </c>
      <c r="N82" s="179"/>
      <c r="O82" s="179">
        <f>O83+O84+O85</f>
        <v>338.62323000000004</v>
      </c>
      <c r="P82" s="144">
        <f t="shared" si="62"/>
        <v>22.740029999999997</v>
      </c>
      <c r="Q82" s="179"/>
      <c r="R82" s="179">
        <f>R83+R84+R85</f>
        <v>22.740029999999997</v>
      </c>
    </row>
    <row r="83" spans="1:18" s="51" customFormat="1" ht="18.600000000000001" customHeight="1" x14ac:dyDescent="0.3">
      <c r="A83" s="74" t="s">
        <v>62</v>
      </c>
      <c r="B83" s="66" t="s">
        <v>63</v>
      </c>
      <c r="C83" s="24" t="s">
        <v>27</v>
      </c>
      <c r="D83" s="144">
        <f t="shared" si="59"/>
        <v>1146.40444</v>
      </c>
      <c r="E83" s="179">
        <f t="shared" si="55"/>
        <v>0</v>
      </c>
      <c r="F83" s="179">
        <f t="shared" si="55"/>
        <v>1146.40444</v>
      </c>
      <c r="G83" s="144">
        <f t="shared" si="60"/>
        <v>884.51346000000001</v>
      </c>
      <c r="H83" s="179"/>
      <c r="I83" s="179">
        <v>884.51346000000001</v>
      </c>
      <c r="J83" s="144">
        <f t="shared" si="56"/>
        <v>1.03488</v>
      </c>
      <c r="K83" s="179"/>
      <c r="L83" s="179">
        <v>1.03488</v>
      </c>
      <c r="M83" s="144">
        <f t="shared" si="57"/>
        <v>244.44083000000001</v>
      </c>
      <c r="N83" s="179"/>
      <c r="O83" s="179">
        <v>244.44083000000001</v>
      </c>
      <c r="P83" s="144">
        <f t="shared" si="58"/>
        <v>16.41527</v>
      </c>
      <c r="Q83" s="179"/>
      <c r="R83" s="180">
        <v>16.41527</v>
      </c>
    </row>
    <row r="84" spans="1:18" s="51" customFormat="1" ht="35.4" customHeight="1" x14ac:dyDescent="0.3">
      <c r="A84" s="74" t="s">
        <v>64</v>
      </c>
      <c r="B84" s="66" t="s">
        <v>55</v>
      </c>
      <c r="C84" s="24" t="s">
        <v>27</v>
      </c>
      <c r="D84" s="144">
        <f t="shared" si="59"/>
        <v>223.50720000000001</v>
      </c>
      <c r="E84" s="179">
        <f t="shared" si="55"/>
        <v>0</v>
      </c>
      <c r="F84" s="179">
        <f t="shared" si="55"/>
        <v>223.50720000000001</v>
      </c>
      <c r="G84" s="144">
        <f t="shared" si="60"/>
        <v>172.44798</v>
      </c>
      <c r="H84" s="179"/>
      <c r="I84" s="179">
        <v>172.44798</v>
      </c>
      <c r="J84" s="144">
        <f t="shared" si="56"/>
        <v>0.20175999999999999</v>
      </c>
      <c r="K84" s="179"/>
      <c r="L84" s="179">
        <v>0.20175999999999999</v>
      </c>
      <c r="M84" s="144">
        <f t="shared" si="57"/>
        <v>47.657080000000001</v>
      </c>
      <c r="N84" s="179"/>
      <c r="O84" s="179">
        <v>47.657080000000001</v>
      </c>
      <c r="P84" s="144">
        <f t="shared" si="58"/>
        <v>3.20038</v>
      </c>
      <c r="Q84" s="179"/>
      <c r="R84" s="180">
        <v>3.20038</v>
      </c>
    </row>
    <row r="85" spans="1:18" s="51" customFormat="1" ht="21" customHeight="1" x14ac:dyDescent="0.3">
      <c r="A85" s="74" t="s">
        <v>65</v>
      </c>
      <c r="B85" s="66" t="s">
        <v>66</v>
      </c>
      <c r="C85" s="24" t="s">
        <v>27</v>
      </c>
      <c r="D85" s="144">
        <f t="shared" si="59"/>
        <v>218.19936999999999</v>
      </c>
      <c r="E85" s="179">
        <f t="shared" si="55"/>
        <v>0</v>
      </c>
      <c r="F85" s="179">
        <f t="shared" si="55"/>
        <v>218.19936999999999</v>
      </c>
      <c r="G85" s="144">
        <f t="shared" si="60"/>
        <v>168.3527</v>
      </c>
      <c r="H85" s="179"/>
      <c r="I85" s="179">
        <v>168.3527</v>
      </c>
      <c r="J85" s="144">
        <f t="shared" si="56"/>
        <v>0.19697000000000001</v>
      </c>
      <c r="K85" s="179"/>
      <c r="L85" s="179">
        <v>0.19697000000000001</v>
      </c>
      <c r="M85" s="144">
        <f t="shared" si="57"/>
        <v>46.525320000000001</v>
      </c>
      <c r="N85" s="179"/>
      <c r="O85" s="179">
        <v>46.525320000000001</v>
      </c>
      <c r="P85" s="144">
        <f t="shared" si="58"/>
        <v>3.1243799999999999</v>
      </c>
      <c r="Q85" s="179"/>
      <c r="R85" s="180">
        <v>3.1243799999999999</v>
      </c>
    </row>
    <row r="86" spans="1:18" s="51" customFormat="1" ht="21" customHeight="1" x14ac:dyDescent="0.3">
      <c r="A86" s="74">
        <v>2</v>
      </c>
      <c r="B86" s="77" t="s">
        <v>67</v>
      </c>
      <c r="C86" s="26" t="s">
        <v>27</v>
      </c>
      <c r="D86" s="186">
        <f>D87+D88+D89</f>
        <v>4005.2281600000006</v>
      </c>
      <c r="E86" s="179">
        <f t="shared" si="55"/>
        <v>0</v>
      </c>
      <c r="F86" s="179">
        <f>I86+L86+O86+R86</f>
        <v>4005.2281600000006</v>
      </c>
      <c r="G86" s="186">
        <f>G87+G88+G89</f>
        <v>3090.2516800000003</v>
      </c>
      <c r="H86" s="179"/>
      <c r="I86" s="179">
        <f>I87+I88+I89</f>
        <v>3090.2516800000003</v>
      </c>
      <c r="J86" s="186">
        <f t="shared" ref="J86:P86" si="63">J87+J88+J89</f>
        <v>3.6155799999999996</v>
      </c>
      <c r="K86" s="179"/>
      <c r="L86" s="179">
        <f>L87+L88+L89</f>
        <v>3.6155799999999996</v>
      </c>
      <c r="M86" s="186">
        <f t="shared" si="63"/>
        <v>854.01037000000008</v>
      </c>
      <c r="N86" s="179"/>
      <c r="O86" s="179">
        <f>O87+O88+O89</f>
        <v>854.01037000000008</v>
      </c>
      <c r="P86" s="186">
        <f t="shared" si="63"/>
        <v>57.350529999999992</v>
      </c>
      <c r="Q86" s="179"/>
      <c r="R86" s="179">
        <f>R87+R88+R89</f>
        <v>57.350529999999992</v>
      </c>
    </row>
    <row r="87" spans="1:18" s="51" customFormat="1" ht="21" customHeight="1" x14ac:dyDescent="0.3">
      <c r="A87" s="74" t="s">
        <v>68</v>
      </c>
      <c r="B87" s="16" t="s">
        <v>63</v>
      </c>
      <c r="C87" s="24" t="s">
        <v>27</v>
      </c>
      <c r="D87" s="144">
        <f t="shared" si="59"/>
        <v>3154.9171600000004</v>
      </c>
      <c r="E87" s="179">
        <f t="shared" si="55"/>
        <v>0</v>
      </c>
      <c r="F87" s="179">
        <f t="shared" si="55"/>
        <v>3154.9171600000004</v>
      </c>
      <c r="G87" s="144">
        <f t="shared" si="60"/>
        <v>2434.1904300000001</v>
      </c>
      <c r="H87" s="179"/>
      <c r="I87" s="179">
        <v>2434.1904300000001</v>
      </c>
      <c r="J87" s="144">
        <f t="shared" si="56"/>
        <v>2.8479899999999998</v>
      </c>
      <c r="K87" s="179"/>
      <c r="L87" s="179">
        <v>2.8479899999999998</v>
      </c>
      <c r="M87" s="144">
        <f t="shared" si="57"/>
        <v>672.70374000000004</v>
      </c>
      <c r="N87" s="179"/>
      <c r="O87" s="179">
        <v>672.70374000000004</v>
      </c>
      <c r="P87" s="144">
        <f t="shared" si="58"/>
        <v>45.174999999999997</v>
      </c>
      <c r="Q87" s="179"/>
      <c r="R87" s="180">
        <v>45.174999999999997</v>
      </c>
    </row>
    <row r="88" spans="1:18" s="51" customFormat="1" ht="30.6" customHeight="1" x14ac:dyDescent="0.3">
      <c r="A88" s="74" t="s">
        <v>69</v>
      </c>
      <c r="B88" s="16" t="s">
        <v>55</v>
      </c>
      <c r="C88" s="24" t="s">
        <v>27</v>
      </c>
      <c r="D88" s="144">
        <f t="shared" si="59"/>
        <v>694.08177000000001</v>
      </c>
      <c r="E88" s="179">
        <f t="shared" si="55"/>
        <v>0</v>
      </c>
      <c r="F88" s="179">
        <f t="shared" si="55"/>
        <v>694.08177000000001</v>
      </c>
      <c r="G88" s="144">
        <f t="shared" si="60"/>
        <v>535.52188999999998</v>
      </c>
      <c r="H88" s="179"/>
      <c r="I88" s="179">
        <v>535.52188999999998</v>
      </c>
      <c r="J88" s="144">
        <f t="shared" si="56"/>
        <v>0.62656000000000001</v>
      </c>
      <c r="K88" s="179"/>
      <c r="L88" s="179">
        <v>0.62656000000000001</v>
      </c>
      <c r="M88" s="144">
        <f t="shared" si="57"/>
        <v>147.99482</v>
      </c>
      <c r="N88" s="179"/>
      <c r="O88" s="179">
        <v>147.99482</v>
      </c>
      <c r="P88" s="144">
        <f>Q88+R88</f>
        <v>9.9384999999999994</v>
      </c>
      <c r="Q88" s="179"/>
      <c r="R88" s="180">
        <v>9.9384999999999994</v>
      </c>
    </row>
    <row r="89" spans="1:18" s="51" customFormat="1" ht="21" customHeight="1" x14ac:dyDescent="0.3">
      <c r="A89" s="74" t="s">
        <v>70</v>
      </c>
      <c r="B89" s="17" t="s">
        <v>66</v>
      </c>
      <c r="C89" s="24" t="s">
        <v>27</v>
      </c>
      <c r="D89" s="144">
        <f t="shared" si="59"/>
        <v>156.22923</v>
      </c>
      <c r="E89" s="179">
        <f t="shared" si="55"/>
        <v>0</v>
      </c>
      <c r="F89" s="179">
        <f t="shared" si="55"/>
        <v>156.22923</v>
      </c>
      <c r="G89" s="144">
        <f t="shared" si="60"/>
        <v>120.53936</v>
      </c>
      <c r="H89" s="179"/>
      <c r="I89" s="179">
        <v>120.53936</v>
      </c>
      <c r="J89" s="144">
        <f t="shared" si="56"/>
        <v>0.14102999999999999</v>
      </c>
      <c r="K89" s="179"/>
      <c r="L89" s="179">
        <v>0.14102999999999999</v>
      </c>
      <c r="M89" s="144">
        <f t="shared" si="57"/>
        <v>33.311810000000001</v>
      </c>
      <c r="N89" s="179"/>
      <c r="O89" s="179">
        <v>33.311810000000001</v>
      </c>
      <c r="P89" s="144">
        <f t="shared" si="58"/>
        <v>2.2370299999999999</v>
      </c>
      <c r="Q89" s="179"/>
      <c r="R89" s="180">
        <v>2.2370299999999999</v>
      </c>
    </row>
    <row r="90" spans="1:18" s="51" customFormat="1" ht="21" customHeight="1" x14ac:dyDescent="0.3">
      <c r="A90" s="74" t="s">
        <v>71</v>
      </c>
      <c r="B90" s="78" t="s">
        <v>72</v>
      </c>
      <c r="C90" s="26" t="s">
        <v>27</v>
      </c>
      <c r="D90" s="186">
        <f>D91+D92+D93</f>
        <v>0</v>
      </c>
      <c r="E90" s="179">
        <f t="shared" si="55"/>
        <v>0</v>
      </c>
      <c r="F90" s="179">
        <f t="shared" si="55"/>
        <v>0</v>
      </c>
      <c r="G90" s="186">
        <f t="shared" ref="G90:P90" si="64">G91+G92+G93</f>
        <v>0</v>
      </c>
      <c r="H90" s="179"/>
      <c r="I90" s="179">
        <v>0</v>
      </c>
      <c r="J90" s="186">
        <f t="shared" si="64"/>
        <v>0</v>
      </c>
      <c r="K90" s="179"/>
      <c r="L90" s="179">
        <v>0</v>
      </c>
      <c r="M90" s="186">
        <f t="shared" si="64"/>
        <v>0</v>
      </c>
      <c r="N90" s="179"/>
      <c r="O90" s="179">
        <v>0</v>
      </c>
      <c r="P90" s="186">
        <f t="shared" si="64"/>
        <v>0</v>
      </c>
      <c r="Q90" s="179"/>
      <c r="R90" s="180">
        <v>0</v>
      </c>
    </row>
    <row r="91" spans="1:18" s="51" customFormat="1" ht="21" customHeight="1" x14ac:dyDescent="0.3">
      <c r="A91" s="74" t="s">
        <v>20</v>
      </c>
      <c r="B91" s="66" t="s">
        <v>63</v>
      </c>
      <c r="C91" s="24" t="s">
        <v>27</v>
      </c>
      <c r="D91" s="144">
        <f t="shared" ref="D91:D93" si="65">E91+F91</f>
        <v>0</v>
      </c>
      <c r="E91" s="179">
        <f t="shared" si="55"/>
        <v>0</v>
      </c>
      <c r="F91" s="179">
        <f t="shared" si="55"/>
        <v>0</v>
      </c>
      <c r="G91" s="144">
        <f t="shared" ref="G91:G93" si="66">H91+I91</f>
        <v>0</v>
      </c>
      <c r="H91" s="179"/>
      <c r="I91" s="179">
        <v>0</v>
      </c>
      <c r="J91" s="144">
        <f t="shared" ref="J91:J93" si="67">K91+L91</f>
        <v>0</v>
      </c>
      <c r="K91" s="179"/>
      <c r="L91" s="179">
        <v>0</v>
      </c>
      <c r="M91" s="144">
        <f t="shared" ref="M91:M93" si="68">N91+O91</f>
        <v>0</v>
      </c>
      <c r="N91" s="179"/>
      <c r="O91" s="179">
        <v>0</v>
      </c>
      <c r="P91" s="144">
        <f t="shared" ref="P91:P93" si="69">Q91+R91</f>
        <v>0</v>
      </c>
      <c r="Q91" s="179"/>
      <c r="R91" s="180">
        <v>0</v>
      </c>
    </row>
    <row r="92" spans="1:18" s="51" customFormat="1" ht="30" customHeight="1" x14ac:dyDescent="0.3">
      <c r="A92" s="74" t="s">
        <v>73</v>
      </c>
      <c r="B92" s="16" t="s">
        <v>55</v>
      </c>
      <c r="C92" s="24" t="s">
        <v>27</v>
      </c>
      <c r="D92" s="144">
        <f t="shared" si="65"/>
        <v>0</v>
      </c>
      <c r="E92" s="179">
        <f t="shared" si="55"/>
        <v>0</v>
      </c>
      <c r="F92" s="179">
        <f t="shared" si="55"/>
        <v>0</v>
      </c>
      <c r="G92" s="144">
        <f t="shared" si="66"/>
        <v>0</v>
      </c>
      <c r="H92" s="179"/>
      <c r="I92" s="179">
        <v>0</v>
      </c>
      <c r="J92" s="144">
        <f t="shared" si="67"/>
        <v>0</v>
      </c>
      <c r="K92" s="179"/>
      <c r="L92" s="179">
        <v>0</v>
      </c>
      <c r="M92" s="144">
        <f t="shared" si="68"/>
        <v>0</v>
      </c>
      <c r="N92" s="179"/>
      <c r="O92" s="179">
        <v>0</v>
      </c>
      <c r="P92" s="144">
        <f t="shared" si="69"/>
        <v>0</v>
      </c>
      <c r="Q92" s="179"/>
      <c r="R92" s="180">
        <v>0</v>
      </c>
    </row>
    <row r="93" spans="1:18" s="51" customFormat="1" ht="21" customHeight="1" x14ac:dyDescent="0.3">
      <c r="A93" s="74" t="s">
        <v>74</v>
      </c>
      <c r="B93" s="79" t="s">
        <v>108</v>
      </c>
      <c r="C93" s="24" t="s">
        <v>27</v>
      </c>
      <c r="D93" s="144">
        <f t="shared" si="65"/>
        <v>0</v>
      </c>
      <c r="E93" s="179">
        <f t="shared" si="55"/>
        <v>0</v>
      </c>
      <c r="F93" s="179">
        <f t="shared" si="55"/>
        <v>0</v>
      </c>
      <c r="G93" s="144">
        <f t="shared" si="66"/>
        <v>0</v>
      </c>
      <c r="H93" s="179"/>
      <c r="I93" s="179">
        <v>0</v>
      </c>
      <c r="J93" s="144">
        <f t="shared" si="67"/>
        <v>0</v>
      </c>
      <c r="K93" s="179"/>
      <c r="L93" s="179">
        <v>0</v>
      </c>
      <c r="M93" s="144">
        <f t="shared" si="68"/>
        <v>0</v>
      </c>
      <c r="N93" s="179"/>
      <c r="O93" s="179">
        <v>0</v>
      </c>
      <c r="P93" s="144">
        <f t="shared" si="69"/>
        <v>0</v>
      </c>
      <c r="Q93" s="179"/>
      <c r="R93" s="180">
        <v>0</v>
      </c>
    </row>
    <row r="94" spans="1:18" s="51" customFormat="1" ht="21" customHeight="1" x14ac:dyDescent="0.3">
      <c r="A94" s="74" t="s">
        <v>24</v>
      </c>
      <c r="B94" s="68" t="s">
        <v>109</v>
      </c>
      <c r="C94" s="26" t="s">
        <v>27</v>
      </c>
      <c r="D94" s="186">
        <v>0</v>
      </c>
      <c r="E94" s="179">
        <f t="shared" si="55"/>
        <v>0</v>
      </c>
      <c r="F94" s="179">
        <f t="shared" si="55"/>
        <v>0</v>
      </c>
      <c r="G94" s="186">
        <v>0</v>
      </c>
      <c r="H94" s="179"/>
      <c r="I94" s="179">
        <v>0</v>
      </c>
      <c r="J94" s="186">
        <v>0</v>
      </c>
      <c r="K94" s="179"/>
      <c r="L94" s="179">
        <v>0</v>
      </c>
      <c r="M94" s="186">
        <v>0</v>
      </c>
      <c r="N94" s="179"/>
      <c r="O94" s="179">
        <v>0</v>
      </c>
      <c r="P94" s="186">
        <v>0</v>
      </c>
      <c r="Q94" s="187"/>
      <c r="R94" s="188">
        <f t="shared" ref="R94:R95" si="70">$H94*P$11</f>
        <v>0</v>
      </c>
    </row>
    <row r="95" spans="1:18" s="51" customFormat="1" ht="21" customHeight="1" x14ac:dyDescent="0.3">
      <c r="A95" s="74" t="s">
        <v>76</v>
      </c>
      <c r="B95" s="68" t="s">
        <v>77</v>
      </c>
      <c r="C95" s="26" t="s">
        <v>27</v>
      </c>
      <c r="D95" s="186">
        <f t="shared" si="59"/>
        <v>0</v>
      </c>
      <c r="E95" s="179">
        <f t="shared" si="55"/>
        <v>0</v>
      </c>
      <c r="F95" s="179">
        <f t="shared" si="55"/>
        <v>0</v>
      </c>
      <c r="G95" s="186">
        <v>0</v>
      </c>
      <c r="H95" s="179"/>
      <c r="I95" s="179">
        <v>0</v>
      </c>
      <c r="J95" s="186">
        <v>0</v>
      </c>
      <c r="K95" s="179"/>
      <c r="L95" s="179">
        <v>0</v>
      </c>
      <c r="M95" s="186">
        <v>0</v>
      </c>
      <c r="N95" s="179"/>
      <c r="O95" s="179">
        <v>0</v>
      </c>
      <c r="P95" s="186">
        <v>0</v>
      </c>
      <c r="Q95" s="187"/>
      <c r="R95" s="188">
        <f t="shared" si="70"/>
        <v>0</v>
      </c>
    </row>
    <row r="96" spans="1:18" s="51" customFormat="1" ht="21" customHeight="1" x14ac:dyDescent="0.3">
      <c r="A96" s="74" t="s">
        <v>78</v>
      </c>
      <c r="B96" s="68" t="s">
        <v>110</v>
      </c>
      <c r="C96" s="24" t="s">
        <v>27</v>
      </c>
      <c r="D96" s="186">
        <f>D95+D94+D90+D86+D70</f>
        <v>46610.427529999994</v>
      </c>
      <c r="E96" s="189">
        <f>E95+E94+E90+E86+E70</f>
        <v>18842.29782</v>
      </c>
      <c r="F96" s="188">
        <f>F95+F94+F90+F86+F70</f>
        <v>27768.129710000001</v>
      </c>
      <c r="G96" s="186">
        <f>G95+G94+G90+G86+G70</f>
        <v>35563.905739999995</v>
      </c>
      <c r="H96" s="189">
        <f t="shared" ref="H96:R96" si="71">H95+H94+H90+H86+H70</f>
        <v>14537.859060000001</v>
      </c>
      <c r="I96" s="188">
        <f>I95+I94+I90+I86+I70</f>
        <v>21026.046679999999</v>
      </c>
      <c r="J96" s="186">
        <f t="shared" si="71"/>
        <v>43.650909999999996</v>
      </c>
      <c r="K96" s="189">
        <f t="shared" si="71"/>
        <v>17.009209999999999</v>
      </c>
      <c r="L96" s="188">
        <f t="shared" si="71"/>
        <v>26.6417</v>
      </c>
      <c r="M96" s="186">
        <f t="shared" si="71"/>
        <v>10310.47724</v>
      </c>
      <c r="N96" s="189">
        <f t="shared" si="71"/>
        <v>4017.62824</v>
      </c>
      <c r="O96" s="188">
        <f t="shared" si="71"/>
        <v>6292.8490000000002</v>
      </c>
      <c r="P96" s="186">
        <f t="shared" si="71"/>
        <v>692.39364</v>
      </c>
      <c r="Q96" s="189">
        <f t="shared" si="71"/>
        <v>269.80131</v>
      </c>
      <c r="R96" s="188">
        <f t="shared" si="71"/>
        <v>422.59233</v>
      </c>
    </row>
    <row r="97" spans="1:18" s="51" customFormat="1" ht="17.399999999999999" customHeight="1" x14ac:dyDescent="0.3">
      <c r="A97" s="74"/>
      <c r="B97" s="68"/>
      <c r="C97" s="24"/>
      <c r="D97" s="186"/>
      <c r="E97" s="189"/>
      <c r="F97" s="188"/>
      <c r="G97" s="186"/>
      <c r="H97" s="189"/>
      <c r="I97" s="188"/>
      <c r="J97" s="186"/>
      <c r="K97" s="189"/>
      <c r="L97" s="188"/>
      <c r="M97" s="186"/>
      <c r="N97" s="189"/>
      <c r="O97" s="188"/>
      <c r="P97" s="186"/>
      <c r="Q97" s="189"/>
      <c r="R97" s="188"/>
    </row>
    <row r="98" spans="1:18" s="51" customFormat="1" ht="20.399999999999999" customHeight="1" x14ac:dyDescent="0.3">
      <c r="A98" s="74" t="s">
        <v>80</v>
      </c>
      <c r="B98" s="68" t="s">
        <v>111</v>
      </c>
      <c r="C98" s="24" t="s">
        <v>27</v>
      </c>
      <c r="D98" s="144">
        <v>0</v>
      </c>
      <c r="E98" s="179">
        <v>0</v>
      </c>
      <c r="F98" s="180">
        <v>0</v>
      </c>
      <c r="G98" s="144">
        <v>0</v>
      </c>
      <c r="H98" s="179">
        <v>0</v>
      </c>
      <c r="I98" s="180">
        <f>$H98*G$11</f>
        <v>0</v>
      </c>
      <c r="J98" s="144">
        <v>0</v>
      </c>
      <c r="K98" s="179">
        <v>0</v>
      </c>
      <c r="L98" s="180">
        <v>0</v>
      </c>
      <c r="M98" s="144">
        <v>0</v>
      </c>
      <c r="N98" s="179">
        <v>0</v>
      </c>
      <c r="O98" s="180">
        <v>0</v>
      </c>
      <c r="P98" s="144">
        <v>0</v>
      </c>
      <c r="Q98" s="179">
        <v>0</v>
      </c>
      <c r="R98" s="180">
        <v>0</v>
      </c>
    </row>
    <row r="99" spans="1:18" s="51" customFormat="1" ht="20.399999999999999" customHeight="1" x14ac:dyDescent="0.3">
      <c r="A99" s="74" t="s">
        <v>82</v>
      </c>
      <c r="B99" s="68" t="s">
        <v>112</v>
      </c>
      <c r="C99" s="26" t="s">
        <v>27</v>
      </c>
      <c r="D99" s="186">
        <f>D100+D101+D102+D103+D104</f>
        <v>1136.8396958536582</v>
      </c>
      <c r="E99" s="141">
        <f t="shared" ref="E99:R99" si="72">E100+E101+E102+E103+E104</f>
        <v>0</v>
      </c>
      <c r="F99" s="190">
        <f>F100+F101+F102+F103+F104</f>
        <v>1136.8396958536582</v>
      </c>
      <c r="G99" s="186">
        <f>G100+G101+G102+G103+G104</f>
        <v>867.41233512195106</v>
      </c>
      <c r="H99" s="189">
        <f t="shared" si="72"/>
        <v>0</v>
      </c>
      <c r="I99" s="188">
        <f>I100+I101+I102+I103+I104</f>
        <v>867.41233512195106</v>
      </c>
      <c r="J99" s="186">
        <f t="shared" si="72"/>
        <v>1.0646563414634145</v>
      </c>
      <c r="K99" s="189">
        <f t="shared" si="72"/>
        <v>0</v>
      </c>
      <c r="L99" s="188">
        <f t="shared" si="72"/>
        <v>1.0646563414634145</v>
      </c>
      <c r="M99" s="186">
        <f t="shared" si="72"/>
        <v>251.47505463414632</v>
      </c>
      <c r="N99" s="189">
        <f t="shared" si="72"/>
        <v>0</v>
      </c>
      <c r="O99" s="188">
        <f t="shared" si="72"/>
        <v>251.47505463414632</v>
      </c>
      <c r="P99" s="186">
        <f t="shared" si="72"/>
        <v>16.887649756097559</v>
      </c>
      <c r="Q99" s="189">
        <f t="shared" si="72"/>
        <v>0</v>
      </c>
      <c r="R99" s="188">
        <f t="shared" si="72"/>
        <v>16.887649756097559</v>
      </c>
    </row>
    <row r="100" spans="1:18" s="51" customFormat="1" ht="20.399999999999999" customHeight="1" x14ac:dyDescent="0.3">
      <c r="A100" s="74" t="s">
        <v>84</v>
      </c>
      <c r="B100" s="16" t="s">
        <v>85</v>
      </c>
      <c r="C100" s="24" t="s">
        <v>27</v>
      </c>
      <c r="D100" s="144">
        <f>E100+F100</f>
        <v>204.63114525365836</v>
      </c>
      <c r="E100" s="191"/>
      <c r="F100" s="148">
        <f>(F104)/(100%-18%)-(F104)</f>
        <v>204.63114525365836</v>
      </c>
      <c r="G100" s="144">
        <f t="shared" ref="G100:G104" si="73">H100+I100</f>
        <v>156.13422032195115</v>
      </c>
      <c r="H100" s="145"/>
      <c r="I100" s="148">
        <f>(I104)/(100%-18%)-(I104)</f>
        <v>156.13422032195115</v>
      </c>
      <c r="J100" s="144">
        <f t="shared" ref="J100:J104" si="74">K100+L100</f>
        <v>0.19163814146341451</v>
      </c>
      <c r="K100" s="145"/>
      <c r="L100" s="148">
        <f>(L104)/(100%-18%)-(L104)</f>
        <v>0.19163814146341451</v>
      </c>
      <c r="M100" s="144">
        <f t="shared" ref="M100:M104" si="75">N100+O100</f>
        <v>45.265509834146314</v>
      </c>
      <c r="N100" s="145"/>
      <c r="O100" s="148">
        <f>(O104)/(100%-18%)-(O104)</f>
        <v>45.265509834146314</v>
      </c>
      <c r="P100" s="144">
        <f t="shared" ref="P100:P104" si="76">Q100+R100</f>
        <v>3.0397769560975583</v>
      </c>
      <c r="Q100" s="145"/>
      <c r="R100" s="192">
        <f>(R104)/(100%-18%)-(R104)</f>
        <v>3.0397769560975583</v>
      </c>
    </row>
    <row r="101" spans="1:18" s="51" customFormat="1" ht="20.399999999999999" customHeight="1" x14ac:dyDescent="0.3">
      <c r="A101" s="74" t="s">
        <v>86</v>
      </c>
      <c r="B101" s="16" t="s">
        <v>113</v>
      </c>
      <c r="C101" s="24" t="s">
        <v>27</v>
      </c>
      <c r="D101" s="144">
        <f t="shared" ref="D101:D103" si="77">E101+F101</f>
        <v>0</v>
      </c>
      <c r="E101" s="145"/>
      <c r="F101" s="148">
        <v>0</v>
      </c>
      <c r="G101" s="144">
        <f t="shared" si="73"/>
        <v>0</v>
      </c>
      <c r="H101" s="145"/>
      <c r="I101" s="148">
        <v>0</v>
      </c>
      <c r="J101" s="144">
        <f t="shared" si="74"/>
        <v>0</v>
      </c>
      <c r="K101" s="145"/>
      <c r="L101" s="148">
        <v>0</v>
      </c>
      <c r="M101" s="144">
        <f t="shared" si="75"/>
        <v>0</v>
      </c>
      <c r="N101" s="145"/>
      <c r="O101" s="148">
        <v>0</v>
      </c>
      <c r="P101" s="144">
        <f t="shared" si="76"/>
        <v>0</v>
      </c>
      <c r="Q101" s="145"/>
      <c r="R101" s="192">
        <v>0</v>
      </c>
    </row>
    <row r="102" spans="1:18" s="51" customFormat="1" ht="20.399999999999999" customHeight="1" x14ac:dyDescent="0.3">
      <c r="A102" s="74" t="s">
        <v>88</v>
      </c>
      <c r="B102" s="16" t="s">
        <v>114</v>
      </c>
      <c r="C102" s="24" t="s">
        <v>27</v>
      </c>
      <c r="D102" s="144">
        <f t="shared" si="77"/>
        <v>0</v>
      </c>
      <c r="E102" s="145"/>
      <c r="F102" s="148">
        <v>0</v>
      </c>
      <c r="G102" s="144">
        <f t="shared" si="73"/>
        <v>0</v>
      </c>
      <c r="H102" s="145"/>
      <c r="I102" s="148">
        <v>0</v>
      </c>
      <c r="J102" s="144">
        <f t="shared" si="74"/>
        <v>0</v>
      </c>
      <c r="K102" s="145"/>
      <c r="L102" s="148">
        <v>0</v>
      </c>
      <c r="M102" s="144">
        <f t="shared" si="75"/>
        <v>0</v>
      </c>
      <c r="N102" s="145"/>
      <c r="O102" s="148">
        <v>0</v>
      </c>
      <c r="P102" s="144">
        <f t="shared" si="76"/>
        <v>0</v>
      </c>
      <c r="Q102" s="145"/>
      <c r="R102" s="192">
        <v>0</v>
      </c>
    </row>
    <row r="103" spans="1:18" s="51" customFormat="1" ht="20.399999999999999" customHeight="1" x14ac:dyDescent="0.3">
      <c r="A103" s="74" t="s">
        <v>90</v>
      </c>
      <c r="B103" s="16" t="s">
        <v>91</v>
      </c>
      <c r="C103" s="24" t="s">
        <v>27</v>
      </c>
      <c r="D103" s="144">
        <f t="shared" si="77"/>
        <v>0</v>
      </c>
      <c r="E103" s="145"/>
      <c r="F103" s="148">
        <v>0</v>
      </c>
      <c r="G103" s="144">
        <f t="shared" si="73"/>
        <v>0</v>
      </c>
      <c r="H103" s="145"/>
      <c r="I103" s="148">
        <v>0</v>
      </c>
      <c r="J103" s="144">
        <f t="shared" si="74"/>
        <v>0</v>
      </c>
      <c r="K103" s="145"/>
      <c r="L103" s="148">
        <v>0</v>
      </c>
      <c r="M103" s="144">
        <f t="shared" si="75"/>
        <v>0</v>
      </c>
      <c r="N103" s="145"/>
      <c r="O103" s="148">
        <v>0</v>
      </c>
      <c r="P103" s="144">
        <f t="shared" si="76"/>
        <v>0</v>
      </c>
      <c r="Q103" s="145"/>
      <c r="R103" s="192">
        <v>0</v>
      </c>
    </row>
    <row r="104" spans="1:18" s="51" customFormat="1" ht="20.399999999999999" customHeight="1" x14ac:dyDescent="0.3">
      <c r="A104" s="74" t="s">
        <v>92</v>
      </c>
      <c r="B104" s="16" t="s">
        <v>93</v>
      </c>
      <c r="C104" s="24" t="s">
        <v>27</v>
      </c>
      <c r="D104" s="144">
        <f>E104+F104</f>
        <v>932.20855059999985</v>
      </c>
      <c r="E104" s="145"/>
      <c r="F104" s="193">
        <f>D96*0.02</f>
        <v>932.20855059999985</v>
      </c>
      <c r="G104" s="144">
        <f t="shared" si="73"/>
        <v>711.27811479999991</v>
      </c>
      <c r="H104" s="145"/>
      <c r="I104" s="193">
        <f>G96*0.02</f>
        <v>711.27811479999991</v>
      </c>
      <c r="J104" s="144">
        <f t="shared" si="74"/>
        <v>0.87301819999999997</v>
      </c>
      <c r="K104" s="145"/>
      <c r="L104" s="193">
        <f>J96*0.02</f>
        <v>0.87301819999999997</v>
      </c>
      <c r="M104" s="144">
        <f t="shared" si="75"/>
        <v>206.2095448</v>
      </c>
      <c r="N104" s="145"/>
      <c r="O104" s="193">
        <f>M96*0.02</f>
        <v>206.2095448</v>
      </c>
      <c r="P104" s="144">
        <f t="shared" si="76"/>
        <v>13.847872800000001</v>
      </c>
      <c r="Q104" s="145"/>
      <c r="R104" s="193">
        <f>P96*0.02</f>
        <v>13.847872800000001</v>
      </c>
    </row>
    <row r="105" spans="1:18" s="51" customFormat="1" ht="35.4" customHeight="1" thickBot="1" x14ac:dyDescent="0.35">
      <c r="A105" s="80" t="s">
        <v>94</v>
      </c>
      <c r="B105" s="81" t="s">
        <v>115</v>
      </c>
      <c r="C105" s="24" t="s">
        <v>27</v>
      </c>
      <c r="D105" s="194">
        <f>D99+D98+D96</f>
        <v>47747.267225853655</v>
      </c>
      <c r="E105" s="189">
        <f t="shared" ref="E105:R105" si="78">E99+E98+E96</f>
        <v>18842.29782</v>
      </c>
      <c r="F105" s="190">
        <f t="shared" si="78"/>
        <v>28904.969405853659</v>
      </c>
      <c r="G105" s="194">
        <f>G99+G98+G96</f>
        <v>36431.318075121948</v>
      </c>
      <c r="H105" s="189">
        <f t="shared" si="78"/>
        <v>14537.859060000001</v>
      </c>
      <c r="I105" s="190">
        <f t="shared" si="78"/>
        <v>21893.459015121949</v>
      </c>
      <c r="J105" s="194">
        <f>J99+J98+J96</f>
        <v>44.715566341463408</v>
      </c>
      <c r="K105" s="189">
        <f t="shared" si="78"/>
        <v>17.009209999999999</v>
      </c>
      <c r="L105" s="190">
        <f t="shared" si="78"/>
        <v>27.706356341463415</v>
      </c>
      <c r="M105" s="194">
        <f>M99+M98+M96</f>
        <v>10561.952294634146</v>
      </c>
      <c r="N105" s="189">
        <f t="shared" si="78"/>
        <v>4017.62824</v>
      </c>
      <c r="O105" s="190">
        <f t="shared" si="78"/>
        <v>6544.3240546341467</v>
      </c>
      <c r="P105" s="194">
        <f>P99+P98+P96</f>
        <v>709.28128975609752</v>
      </c>
      <c r="Q105" s="189">
        <f t="shared" si="78"/>
        <v>269.80131</v>
      </c>
      <c r="R105" s="188">
        <f t="shared" si="78"/>
        <v>439.47997975609758</v>
      </c>
    </row>
    <row r="106" spans="1:18" s="51" customFormat="1" ht="44.4" customHeight="1" x14ac:dyDescent="0.3">
      <c r="A106" s="101" t="s">
        <v>131</v>
      </c>
      <c r="B106" s="27" t="s">
        <v>147</v>
      </c>
      <c r="C106" s="28" t="s">
        <v>133</v>
      </c>
      <c r="D106" s="195" t="s">
        <v>129</v>
      </c>
      <c r="E106" s="196" t="s">
        <v>129</v>
      </c>
      <c r="F106" s="197" t="s">
        <v>129</v>
      </c>
      <c r="G106" s="198" t="s">
        <v>129</v>
      </c>
      <c r="H106" s="199" t="s">
        <v>129</v>
      </c>
      <c r="I106" s="197" t="s">
        <v>129</v>
      </c>
      <c r="J106" s="200" t="s">
        <v>129</v>
      </c>
      <c r="K106" s="199" t="s">
        <v>129</v>
      </c>
      <c r="L106" s="197" t="s">
        <v>129</v>
      </c>
      <c r="M106" s="198" t="s">
        <v>129</v>
      </c>
      <c r="N106" s="199" t="s">
        <v>129</v>
      </c>
      <c r="O106" s="197" t="s">
        <v>129</v>
      </c>
      <c r="P106" s="200" t="s">
        <v>129</v>
      </c>
      <c r="Q106" s="199" t="s">
        <v>129</v>
      </c>
      <c r="R106" s="197" t="s">
        <v>129</v>
      </c>
    </row>
    <row r="107" spans="1:18" s="51" customFormat="1" ht="24.6" customHeight="1" x14ac:dyDescent="0.3">
      <c r="A107" s="102" t="s">
        <v>134</v>
      </c>
      <c r="B107" s="45" t="s">
        <v>135</v>
      </c>
      <c r="C107" s="44" t="s">
        <v>136</v>
      </c>
      <c r="D107" s="201">
        <f>E107</f>
        <v>502.46259366184574</v>
      </c>
      <c r="E107" s="202">
        <f>E105/E14</f>
        <v>502.46259366184574</v>
      </c>
      <c r="F107" s="203" t="s">
        <v>129</v>
      </c>
      <c r="G107" s="160">
        <f>H107</f>
        <v>502.46259380645563</v>
      </c>
      <c r="H107" s="202">
        <f>H105/H14</f>
        <v>502.46259380645563</v>
      </c>
      <c r="I107" s="203" t="s">
        <v>129</v>
      </c>
      <c r="J107" s="160">
        <f>K107</f>
        <v>502.46250557579089</v>
      </c>
      <c r="K107" s="202">
        <f>K105/K14</f>
        <v>502.46250557579089</v>
      </c>
      <c r="L107" s="203" t="s">
        <v>129</v>
      </c>
      <c r="M107" s="160">
        <f>N107</f>
        <v>502.46259343239132</v>
      </c>
      <c r="N107" s="202">
        <f>N105/N14</f>
        <v>502.46259343239132</v>
      </c>
      <c r="O107" s="203" t="s">
        <v>129</v>
      </c>
      <c r="P107" s="160">
        <f>Q107</f>
        <v>502.46259483981981</v>
      </c>
      <c r="Q107" s="202">
        <f>Q105/Q14</f>
        <v>502.46259483981981</v>
      </c>
      <c r="R107" s="203" t="s">
        <v>129</v>
      </c>
    </row>
    <row r="108" spans="1:18" s="51" customFormat="1" ht="35.4" customHeight="1" x14ac:dyDescent="0.3">
      <c r="A108" s="102" t="s">
        <v>137</v>
      </c>
      <c r="B108" s="45" t="s">
        <v>144</v>
      </c>
      <c r="C108" s="44" t="s">
        <v>138</v>
      </c>
      <c r="D108" s="201">
        <f>F108</f>
        <v>999729.16513978783</v>
      </c>
      <c r="E108" s="161" t="s">
        <v>129</v>
      </c>
      <c r="F108" s="162">
        <f>F105*1000/F15</f>
        <v>999729.16513978783</v>
      </c>
      <c r="G108" s="160">
        <f>I108</f>
        <v>981426.18344802933</v>
      </c>
      <c r="H108" s="161" t="s">
        <v>129</v>
      </c>
      <c r="I108" s="162">
        <f>I105/I15*1000</f>
        <v>981426.18344802933</v>
      </c>
      <c r="J108" s="160">
        <f>L108</f>
        <v>1061545.8599794409</v>
      </c>
      <c r="K108" s="161" t="s">
        <v>129</v>
      </c>
      <c r="L108" s="162">
        <f>L105/L15*1000-0.36</f>
        <v>1061545.8599794409</v>
      </c>
      <c r="M108" s="160">
        <f>O108</f>
        <v>1061545.857132175</v>
      </c>
      <c r="N108" s="161" t="s">
        <v>129</v>
      </c>
      <c r="O108" s="162">
        <f>O105/O15*1000</f>
        <v>1061545.857132175</v>
      </c>
      <c r="P108" s="160">
        <f>R108</f>
        <v>1061545.8648214918</v>
      </c>
      <c r="Q108" s="161" t="s">
        <v>129</v>
      </c>
      <c r="R108" s="162">
        <f>R105/R15*1000+0.02</f>
        <v>1061545.8648214918</v>
      </c>
    </row>
    <row r="109" spans="1:18" s="51" customFormat="1" ht="35.4" customHeight="1" thickBot="1" x14ac:dyDescent="0.35">
      <c r="A109" s="103" t="s">
        <v>139</v>
      </c>
      <c r="B109" s="46" t="s">
        <v>146</v>
      </c>
      <c r="C109" s="47" t="s">
        <v>138</v>
      </c>
      <c r="D109" s="204">
        <f t="shared" ref="D109:Q109" si="79">IFERROR(D108/12,"х")</f>
        <v>83310.763761648981</v>
      </c>
      <c r="E109" s="164" t="str">
        <f t="shared" si="79"/>
        <v>х</v>
      </c>
      <c r="F109" s="165">
        <f t="shared" si="79"/>
        <v>83310.763761648981</v>
      </c>
      <c r="G109" s="163">
        <f t="shared" si="79"/>
        <v>81785.515287335773</v>
      </c>
      <c r="H109" s="164" t="str">
        <f t="shared" si="79"/>
        <v>х</v>
      </c>
      <c r="I109" s="165">
        <f t="shared" si="79"/>
        <v>81785.515287335773</v>
      </c>
      <c r="J109" s="163">
        <f t="shared" si="79"/>
        <v>88462.154998286744</v>
      </c>
      <c r="K109" s="164" t="str">
        <f t="shared" si="79"/>
        <v>х</v>
      </c>
      <c r="L109" s="165">
        <f t="shared" si="79"/>
        <v>88462.154998286744</v>
      </c>
      <c r="M109" s="163">
        <f t="shared" si="79"/>
        <v>88462.154761014579</v>
      </c>
      <c r="N109" s="164" t="str">
        <f t="shared" si="79"/>
        <v>х</v>
      </c>
      <c r="O109" s="165">
        <f>IFERROR(O108/12,"х")</f>
        <v>88462.154761014579</v>
      </c>
      <c r="P109" s="163">
        <f>R109</f>
        <v>88462.145401790985</v>
      </c>
      <c r="Q109" s="164" t="str">
        <f t="shared" si="79"/>
        <v>х</v>
      </c>
      <c r="R109" s="165">
        <f>IFERROR(R108/12,"х")-0.01</f>
        <v>88462.145401790985</v>
      </c>
    </row>
    <row r="110" spans="1:18" s="51" customFormat="1" ht="43.8" customHeight="1" x14ac:dyDescent="0.3">
      <c r="A110" s="104" t="s">
        <v>140</v>
      </c>
      <c r="B110" s="105" t="s">
        <v>148</v>
      </c>
      <c r="C110" s="106" t="s">
        <v>133</v>
      </c>
      <c r="D110" s="205" t="s">
        <v>129</v>
      </c>
      <c r="E110" s="206" t="s">
        <v>129</v>
      </c>
      <c r="F110" s="207" t="s">
        <v>129</v>
      </c>
      <c r="G110" s="208" t="s">
        <v>129</v>
      </c>
      <c r="H110" s="206" t="s">
        <v>129</v>
      </c>
      <c r="I110" s="207" t="s">
        <v>129</v>
      </c>
      <c r="J110" s="208" t="s">
        <v>129</v>
      </c>
      <c r="K110" s="206" t="s">
        <v>129</v>
      </c>
      <c r="L110" s="207" t="s">
        <v>129</v>
      </c>
      <c r="M110" s="208" t="s">
        <v>129</v>
      </c>
      <c r="N110" s="206" t="s">
        <v>129</v>
      </c>
      <c r="O110" s="207" t="s">
        <v>129</v>
      </c>
      <c r="P110" s="208" t="s">
        <v>129</v>
      </c>
      <c r="Q110" s="206" t="s">
        <v>129</v>
      </c>
      <c r="R110" s="207" t="s">
        <v>129</v>
      </c>
    </row>
    <row r="111" spans="1:18" s="51" customFormat="1" ht="26.4" customHeight="1" x14ac:dyDescent="0.3">
      <c r="A111" s="94" t="s">
        <v>142</v>
      </c>
      <c r="B111" s="107" t="s">
        <v>135</v>
      </c>
      <c r="C111" s="108" t="s">
        <v>136</v>
      </c>
      <c r="D111" s="209">
        <f>D107*1.2</f>
        <v>602.95511239421489</v>
      </c>
      <c r="E111" s="210">
        <f>E107*1.2</f>
        <v>602.95511239421489</v>
      </c>
      <c r="F111" s="174" t="s">
        <v>129</v>
      </c>
      <c r="G111" s="211">
        <f>G107*1.2</f>
        <v>602.95511256774671</v>
      </c>
      <c r="H111" s="210">
        <f>H107*1.2</f>
        <v>602.95511256774671</v>
      </c>
      <c r="I111" s="174" t="s">
        <v>129</v>
      </c>
      <c r="J111" s="211">
        <f>J107*1.2</f>
        <v>602.95500669094906</v>
      </c>
      <c r="K111" s="210">
        <f>K107*1.2</f>
        <v>602.95500669094906</v>
      </c>
      <c r="L111" s="174" t="s">
        <v>129</v>
      </c>
      <c r="M111" s="211">
        <f>M107*1.2</f>
        <v>602.95511211886958</v>
      </c>
      <c r="N111" s="210">
        <f>N107*1.2</f>
        <v>602.95511211886958</v>
      </c>
      <c r="O111" s="174" t="s">
        <v>129</v>
      </c>
      <c r="P111" s="211">
        <f>P107*1.2</f>
        <v>602.95511380778373</v>
      </c>
      <c r="Q111" s="210">
        <f>Q107*1.2</f>
        <v>602.95511380778373</v>
      </c>
      <c r="R111" s="174" t="s">
        <v>129</v>
      </c>
    </row>
    <row r="112" spans="1:18" s="51" customFormat="1" ht="35.4" customHeight="1" x14ac:dyDescent="0.3">
      <c r="A112" s="94" t="s">
        <v>143</v>
      </c>
      <c r="B112" s="107" t="s">
        <v>144</v>
      </c>
      <c r="C112" s="108" t="s">
        <v>138</v>
      </c>
      <c r="D112" s="209">
        <f>F112</f>
        <v>1199674.9981677453</v>
      </c>
      <c r="E112" s="212" t="s">
        <v>129</v>
      </c>
      <c r="F112" s="213">
        <f>F108*1.2</f>
        <v>1199674.9981677453</v>
      </c>
      <c r="G112" s="211">
        <f>I112</f>
        <v>1177711.4201376352</v>
      </c>
      <c r="H112" s="212" t="s">
        <v>129</v>
      </c>
      <c r="I112" s="213">
        <f>I108*1.2</f>
        <v>1177711.4201376352</v>
      </c>
      <c r="J112" s="211">
        <f>J108*1.2</f>
        <v>1273855.0319753292</v>
      </c>
      <c r="K112" s="212" t="s">
        <v>129</v>
      </c>
      <c r="L112" s="213">
        <f>L108*1.2</f>
        <v>1273855.0319753292</v>
      </c>
      <c r="M112" s="211">
        <f>O112</f>
        <v>1273855.02855861</v>
      </c>
      <c r="N112" s="212" t="s">
        <v>129</v>
      </c>
      <c r="O112" s="213">
        <f>O108*1.2</f>
        <v>1273855.02855861</v>
      </c>
      <c r="P112" s="211">
        <f>R112</f>
        <v>1273855.0277857902</v>
      </c>
      <c r="Q112" s="212" t="s">
        <v>129</v>
      </c>
      <c r="R112" s="213">
        <f>R108*1.2-0.01</f>
        <v>1273855.0277857902</v>
      </c>
    </row>
    <row r="113" spans="1:18" s="51" customFormat="1" ht="35.4" customHeight="1" thickBot="1" x14ac:dyDescent="0.35">
      <c r="A113" s="97" t="s">
        <v>149</v>
      </c>
      <c r="B113" s="109" t="s">
        <v>146</v>
      </c>
      <c r="C113" s="110" t="s">
        <v>138</v>
      </c>
      <c r="D113" s="209">
        <f>D109*1.2</f>
        <v>99972.91651397878</v>
      </c>
      <c r="E113" s="212" t="s">
        <v>129</v>
      </c>
      <c r="F113" s="213">
        <f>F109*1.2</f>
        <v>99972.91651397878</v>
      </c>
      <c r="G113" s="211">
        <f>G109*1.2</f>
        <v>98142.618344802919</v>
      </c>
      <c r="H113" s="212" t="s">
        <v>129</v>
      </c>
      <c r="I113" s="213">
        <f>I109*1.2</f>
        <v>98142.618344802919</v>
      </c>
      <c r="J113" s="211">
        <f>J109*1.2</f>
        <v>106154.58599794409</v>
      </c>
      <c r="K113" s="212" t="s">
        <v>129</v>
      </c>
      <c r="L113" s="213">
        <f>L109*1.2</f>
        <v>106154.58599794409</v>
      </c>
      <c r="M113" s="211">
        <f>M109*1.2</f>
        <v>106154.58571321749</v>
      </c>
      <c r="N113" s="212" t="s">
        <v>129</v>
      </c>
      <c r="O113" s="213">
        <f>O109*1.2</f>
        <v>106154.58571321749</v>
      </c>
      <c r="P113" s="211">
        <f>R113</f>
        <v>106154.59448214919</v>
      </c>
      <c r="Q113" s="212" t="s">
        <v>129</v>
      </c>
      <c r="R113" s="213">
        <f>R109*1.2+0.02</f>
        <v>106154.59448214919</v>
      </c>
    </row>
    <row r="114" spans="1:18" s="51" customFormat="1" ht="35.4" customHeight="1" thickBot="1" x14ac:dyDescent="0.35">
      <c r="A114" s="111"/>
      <c r="B114" s="354" t="s">
        <v>118</v>
      </c>
      <c r="C114" s="352"/>
      <c r="D114" s="352"/>
      <c r="E114" s="352"/>
      <c r="F114" s="352"/>
      <c r="G114" s="352"/>
      <c r="H114" s="352"/>
      <c r="I114" s="352"/>
      <c r="J114" s="352"/>
      <c r="K114" s="352"/>
      <c r="L114" s="352"/>
      <c r="M114" s="352"/>
      <c r="N114" s="352"/>
      <c r="O114" s="352"/>
      <c r="P114" s="352"/>
      <c r="Q114" s="352"/>
      <c r="R114" s="353"/>
    </row>
    <row r="115" spans="1:18" s="51" customFormat="1" ht="19.8" customHeight="1" x14ac:dyDescent="0.3">
      <c r="A115" s="112">
        <v>1</v>
      </c>
      <c r="B115" s="53" t="s">
        <v>26</v>
      </c>
      <c r="C115" s="29" t="s">
        <v>27</v>
      </c>
      <c r="D115" s="218">
        <f>D116+D117+D118+D122</f>
        <v>2533.2417099999998</v>
      </c>
      <c r="E115" s="219"/>
      <c r="F115" s="220">
        <f>F116+F117+F118+F122</f>
        <v>2533.2417099999998</v>
      </c>
      <c r="G115" s="218">
        <f t="shared" ref="G115:R115" si="80">G116+G117+G118+G122</f>
        <v>1954.5339599999998</v>
      </c>
      <c r="H115" s="219"/>
      <c r="I115" s="220">
        <f t="shared" si="80"/>
        <v>1954.5339599999998</v>
      </c>
      <c r="J115" s="221">
        <f t="shared" si="80"/>
        <v>2.2867999999999999</v>
      </c>
      <c r="K115" s="219"/>
      <c r="L115" s="222">
        <f t="shared" si="80"/>
        <v>2.2867999999999999</v>
      </c>
      <c r="M115" s="221">
        <f t="shared" si="80"/>
        <v>540.14768000000004</v>
      </c>
      <c r="N115" s="219"/>
      <c r="O115" s="222">
        <f t="shared" si="80"/>
        <v>540.14768000000004</v>
      </c>
      <c r="P115" s="221">
        <f t="shared" si="80"/>
        <v>36.273270000000004</v>
      </c>
      <c r="Q115" s="219"/>
      <c r="R115" s="222">
        <f t="shared" si="80"/>
        <v>36.273270000000004</v>
      </c>
    </row>
    <row r="116" spans="1:18" s="51" customFormat="1" ht="19.8" customHeight="1" x14ac:dyDescent="0.3">
      <c r="A116" s="113" t="s">
        <v>28</v>
      </c>
      <c r="B116" s="54" t="s">
        <v>119</v>
      </c>
      <c r="C116" s="2" t="s">
        <v>27</v>
      </c>
      <c r="D116" s="144">
        <f>E116+F116</f>
        <v>45.204720000000002</v>
      </c>
      <c r="E116" s="34"/>
      <c r="F116" s="214">
        <f>I116+L116+O116+R116</f>
        <v>45.204720000000002</v>
      </c>
      <c r="G116" s="144">
        <f>H116+I116</f>
        <v>34.877899999999997</v>
      </c>
      <c r="H116" s="215"/>
      <c r="I116" s="216">
        <v>34.877899999999997</v>
      </c>
      <c r="J116" s="144">
        <f>K116+L116</f>
        <v>4.0809999999999999E-2</v>
      </c>
      <c r="K116" s="215"/>
      <c r="L116" s="217">
        <v>4.0809999999999999E-2</v>
      </c>
      <c r="M116" s="144">
        <f>N116+O116</f>
        <v>9.6387300000000007</v>
      </c>
      <c r="N116" s="215"/>
      <c r="O116" s="217">
        <v>9.6387300000000007</v>
      </c>
      <c r="P116" s="144">
        <f>Q116+R116</f>
        <v>0.64727999999999997</v>
      </c>
      <c r="Q116" s="215"/>
      <c r="R116" s="217">
        <v>0.64727999999999997</v>
      </c>
    </row>
    <row r="117" spans="1:18" s="51" customFormat="1" ht="19.8" customHeight="1" x14ac:dyDescent="0.3">
      <c r="A117" s="113" t="s">
        <v>50</v>
      </c>
      <c r="B117" s="54" t="s">
        <v>51</v>
      </c>
      <c r="C117" s="2" t="s">
        <v>27</v>
      </c>
      <c r="D117" s="144">
        <f t="shared" ref="D117:D135" si="81">E117+F117</f>
        <v>2043.79602</v>
      </c>
      <c r="E117" s="34"/>
      <c r="F117" s="214">
        <f t="shared" ref="F117:F135" si="82">I117+L117+O117+R117</f>
        <v>2043.79602</v>
      </c>
      <c r="G117" s="144">
        <f t="shared" ref="G117:G131" si="83">H117+I117</f>
        <v>1576.89995</v>
      </c>
      <c r="H117" s="215"/>
      <c r="I117" s="216">
        <v>1576.89995</v>
      </c>
      <c r="J117" s="144">
        <f t="shared" ref="J117:J135" si="84">K117+L117</f>
        <v>1.8449599999999999</v>
      </c>
      <c r="K117" s="215"/>
      <c r="L117" s="217">
        <v>1.8449599999999999</v>
      </c>
      <c r="M117" s="144">
        <f t="shared" ref="M117:M135" si="85">N117+O117</f>
        <v>435.78616</v>
      </c>
      <c r="N117" s="215"/>
      <c r="O117" s="217">
        <v>435.78616</v>
      </c>
      <c r="P117" s="144">
        <f t="shared" ref="P117:P135" si="86">Q117+R117</f>
        <v>29.264949999999999</v>
      </c>
      <c r="Q117" s="215"/>
      <c r="R117" s="217">
        <v>29.264949999999999</v>
      </c>
    </row>
    <row r="118" spans="1:18" s="51" customFormat="1" ht="19.8" customHeight="1" x14ac:dyDescent="0.3">
      <c r="A118" s="113" t="s">
        <v>52</v>
      </c>
      <c r="B118" s="54" t="s">
        <v>53</v>
      </c>
      <c r="C118" s="2" t="s">
        <v>27</v>
      </c>
      <c r="D118" s="144">
        <f t="shared" si="81"/>
        <v>342.97460000000001</v>
      </c>
      <c r="E118" s="34"/>
      <c r="F118" s="214">
        <f t="shared" si="82"/>
        <v>342.97460000000001</v>
      </c>
      <c r="G118" s="144">
        <f t="shared" si="83"/>
        <v>264.62358999999998</v>
      </c>
      <c r="H118" s="215"/>
      <c r="I118" s="216">
        <f>I119+I120+I121</f>
        <v>264.62358999999998</v>
      </c>
      <c r="J118" s="144">
        <f t="shared" si="84"/>
        <v>0.30961</v>
      </c>
      <c r="K118" s="215"/>
      <c r="L118" s="216">
        <f>L119+L120+L121</f>
        <v>0.30961</v>
      </c>
      <c r="M118" s="144">
        <f t="shared" si="85"/>
        <v>73.130380000000002</v>
      </c>
      <c r="N118" s="215"/>
      <c r="O118" s="216">
        <f>O119+O120+O121</f>
        <v>73.130380000000002</v>
      </c>
      <c r="P118" s="144">
        <f t="shared" si="86"/>
        <v>4.9110200000000006</v>
      </c>
      <c r="Q118" s="215"/>
      <c r="R118" s="216">
        <f>R119+R120+R121</f>
        <v>4.9110200000000006</v>
      </c>
    </row>
    <row r="119" spans="1:18" s="51" customFormat="1" ht="35.4" customHeight="1" x14ac:dyDescent="0.3">
      <c r="A119" s="113" t="s">
        <v>54</v>
      </c>
      <c r="B119" s="54" t="s">
        <v>55</v>
      </c>
      <c r="C119" s="2" t="s">
        <v>27</v>
      </c>
      <c r="D119" s="144">
        <f t="shared" si="81"/>
        <v>318.52278000000001</v>
      </c>
      <c r="E119" s="34"/>
      <c r="F119" s="214">
        <f t="shared" si="82"/>
        <v>318.52278000000001</v>
      </c>
      <c r="G119" s="144">
        <f t="shared" si="83"/>
        <v>245.75766999999999</v>
      </c>
      <c r="H119" s="215"/>
      <c r="I119" s="216">
        <v>245.75766999999999</v>
      </c>
      <c r="J119" s="144">
        <f t="shared" si="84"/>
        <v>0.28754000000000002</v>
      </c>
      <c r="K119" s="215"/>
      <c r="L119" s="217">
        <v>0.28754000000000002</v>
      </c>
      <c r="M119" s="144">
        <f t="shared" si="85"/>
        <v>67.916669999999996</v>
      </c>
      <c r="N119" s="215"/>
      <c r="O119" s="217">
        <v>67.916669999999996</v>
      </c>
      <c r="P119" s="144">
        <f t="shared" si="86"/>
        <v>4.5609000000000002</v>
      </c>
      <c r="Q119" s="215"/>
      <c r="R119" s="217">
        <v>4.5609000000000002</v>
      </c>
    </row>
    <row r="120" spans="1:18" s="51" customFormat="1" ht="21.6" customHeight="1" x14ac:dyDescent="0.3">
      <c r="A120" s="113" t="s">
        <v>56</v>
      </c>
      <c r="B120" s="54" t="s">
        <v>106</v>
      </c>
      <c r="C120" s="2" t="s">
        <v>27</v>
      </c>
      <c r="D120" s="144">
        <f t="shared" si="81"/>
        <v>0</v>
      </c>
      <c r="E120" s="34"/>
      <c r="F120" s="214">
        <f t="shared" si="82"/>
        <v>0</v>
      </c>
      <c r="G120" s="144">
        <f t="shared" si="83"/>
        <v>0</v>
      </c>
      <c r="H120" s="215"/>
      <c r="I120" s="216">
        <v>0</v>
      </c>
      <c r="J120" s="144">
        <f t="shared" si="84"/>
        <v>0</v>
      </c>
      <c r="K120" s="215"/>
      <c r="L120" s="217">
        <v>0</v>
      </c>
      <c r="M120" s="144">
        <f t="shared" si="85"/>
        <v>0</v>
      </c>
      <c r="N120" s="215"/>
      <c r="O120" s="217">
        <v>0</v>
      </c>
      <c r="P120" s="144">
        <f t="shared" si="86"/>
        <v>0</v>
      </c>
      <c r="Q120" s="215"/>
      <c r="R120" s="217">
        <v>0</v>
      </c>
    </row>
    <row r="121" spans="1:18" s="51" customFormat="1" ht="21.6" customHeight="1" x14ac:dyDescent="0.3">
      <c r="A121" s="113" t="s">
        <v>58</v>
      </c>
      <c r="B121" s="54" t="s">
        <v>59</v>
      </c>
      <c r="C121" s="2" t="s">
        <v>27</v>
      </c>
      <c r="D121" s="144">
        <f t="shared" si="81"/>
        <v>24.451819999999998</v>
      </c>
      <c r="E121" s="34"/>
      <c r="F121" s="214">
        <f t="shared" si="82"/>
        <v>24.451819999999998</v>
      </c>
      <c r="G121" s="144">
        <f t="shared" si="83"/>
        <v>18.865919999999999</v>
      </c>
      <c r="H121" s="215"/>
      <c r="I121" s="216">
        <v>18.865919999999999</v>
      </c>
      <c r="J121" s="144">
        <f t="shared" si="84"/>
        <v>2.2069999999999999E-2</v>
      </c>
      <c r="K121" s="215"/>
      <c r="L121" s="217">
        <v>2.2069999999999999E-2</v>
      </c>
      <c r="M121" s="144">
        <f t="shared" si="85"/>
        <v>5.2137099999999998</v>
      </c>
      <c r="N121" s="215"/>
      <c r="O121" s="217">
        <v>5.2137099999999998</v>
      </c>
      <c r="P121" s="144">
        <f t="shared" si="86"/>
        <v>0.35011999999999999</v>
      </c>
      <c r="Q121" s="215"/>
      <c r="R121" s="217">
        <v>0.35011999999999999</v>
      </c>
    </row>
    <row r="122" spans="1:18" s="51" customFormat="1" ht="21.6" customHeight="1" x14ac:dyDescent="0.3">
      <c r="A122" s="113" t="s">
        <v>60</v>
      </c>
      <c r="B122" s="55" t="s">
        <v>61</v>
      </c>
      <c r="C122" s="30" t="s">
        <v>27</v>
      </c>
      <c r="D122" s="144">
        <f t="shared" si="81"/>
        <v>101.26636999999999</v>
      </c>
      <c r="E122" s="34"/>
      <c r="F122" s="214">
        <f t="shared" si="82"/>
        <v>101.26636999999999</v>
      </c>
      <c r="G122" s="144">
        <f t="shared" si="83"/>
        <v>78.13252</v>
      </c>
      <c r="H122" s="215"/>
      <c r="I122" s="216">
        <f>I123+I124+I125</f>
        <v>78.13252</v>
      </c>
      <c r="J122" s="144">
        <f t="shared" si="84"/>
        <v>9.1419999999999987E-2</v>
      </c>
      <c r="K122" s="215"/>
      <c r="L122" s="216">
        <f>L123+L124+L125</f>
        <v>9.1419999999999987E-2</v>
      </c>
      <c r="M122" s="144">
        <f t="shared" si="85"/>
        <v>21.592410000000001</v>
      </c>
      <c r="N122" s="215"/>
      <c r="O122" s="216">
        <f>O123+O124+O125</f>
        <v>21.592410000000001</v>
      </c>
      <c r="P122" s="144">
        <f t="shared" si="86"/>
        <v>1.4500200000000001</v>
      </c>
      <c r="Q122" s="215"/>
      <c r="R122" s="216">
        <f>R123+R124+R125</f>
        <v>1.4500200000000001</v>
      </c>
    </row>
    <row r="123" spans="1:18" s="51" customFormat="1" ht="21.6" customHeight="1" x14ac:dyDescent="0.3">
      <c r="A123" s="113" t="s">
        <v>62</v>
      </c>
      <c r="B123" s="54" t="s">
        <v>63</v>
      </c>
      <c r="C123" s="2" t="s">
        <v>27</v>
      </c>
      <c r="D123" s="144">
        <f t="shared" si="81"/>
        <v>73.100809999999996</v>
      </c>
      <c r="E123" s="34"/>
      <c r="F123" s="214">
        <f t="shared" si="82"/>
        <v>73.100809999999996</v>
      </c>
      <c r="G123" s="144">
        <f t="shared" si="83"/>
        <v>56.401260000000001</v>
      </c>
      <c r="H123" s="215"/>
      <c r="I123" s="216">
        <v>56.401260000000001</v>
      </c>
      <c r="J123" s="144">
        <f t="shared" si="84"/>
        <v>6.5989999999999993E-2</v>
      </c>
      <c r="K123" s="215"/>
      <c r="L123" s="217">
        <v>6.5989999999999993E-2</v>
      </c>
      <c r="M123" s="144">
        <f t="shared" si="85"/>
        <v>15.58684</v>
      </c>
      <c r="N123" s="215"/>
      <c r="O123" s="217">
        <v>15.58684</v>
      </c>
      <c r="P123" s="144">
        <f t="shared" si="86"/>
        <v>1.0467200000000001</v>
      </c>
      <c r="Q123" s="215"/>
      <c r="R123" s="217">
        <v>1.0467200000000001</v>
      </c>
    </row>
    <row r="124" spans="1:18" s="51" customFormat="1" ht="33.6" customHeight="1" x14ac:dyDescent="0.3">
      <c r="A124" s="113" t="s">
        <v>64</v>
      </c>
      <c r="B124" s="54" t="s">
        <v>55</v>
      </c>
      <c r="C124" s="2" t="s">
        <v>27</v>
      </c>
      <c r="D124" s="144">
        <f t="shared" si="81"/>
        <v>14.25201</v>
      </c>
      <c r="E124" s="34"/>
      <c r="F124" s="214">
        <f t="shared" si="82"/>
        <v>14.25201</v>
      </c>
      <c r="G124" s="144">
        <f t="shared" si="83"/>
        <v>10.9962</v>
      </c>
      <c r="H124" s="215"/>
      <c r="I124" s="216">
        <v>10.9962</v>
      </c>
      <c r="J124" s="144">
        <f t="shared" si="84"/>
        <v>1.2869999999999999E-2</v>
      </c>
      <c r="K124" s="215"/>
      <c r="L124" s="217">
        <v>1.2869999999999999E-2</v>
      </c>
      <c r="M124" s="144">
        <f t="shared" si="85"/>
        <v>3.0388700000000002</v>
      </c>
      <c r="N124" s="215"/>
      <c r="O124" s="217">
        <v>3.0388700000000002</v>
      </c>
      <c r="P124" s="144">
        <f t="shared" si="86"/>
        <v>0.20407</v>
      </c>
      <c r="Q124" s="215"/>
      <c r="R124" s="217">
        <v>0.20407</v>
      </c>
    </row>
    <row r="125" spans="1:18" s="51" customFormat="1" ht="21.6" customHeight="1" x14ac:dyDescent="0.3">
      <c r="A125" s="113" t="s">
        <v>65</v>
      </c>
      <c r="B125" s="54" t="s">
        <v>66</v>
      </c>
      <c r="C125" s="2" t="s">
        <v>27</v>
      </c>
      <c r="D125" s="144">
        <f t="shared" si="81"/>
        <v>13.913550000000001</v>
      </c>
      <c r="E125" s="34"/>
      <c r="F125" s="214">
        <f t="shared" si="82"/>
        <v>13.913550000000001</v>
      </c>
      <c r="G125" s="144">
        <f t="shared" si="83"/>
        <v>10.735060000000001</v>
      </c>
      <c r="H125" s="215"/>
      <c r="I125" s="216">
        <v>10.735060000000001</v>
      </c>
      <c r="J125" s="144">
        <f t="shared" si="84"/>
        <v>1.256E-2</v>
      </c>
      <c r="K125" s="215"/>
      <c r="L125" s="217">
        <v>1.256E-2</v>
      </c>
      <c r="M125" s="144">
        <f t="shared" si="85"/>
        <v>2.9666999999999999</v>
      </c>
      <c r="N125" s="215"/>
      <c r="O125" s="217">
        <v>2.9666999999999999</v>
      </c>
      <c r="P125" s="144">
        <f t="shared" si="86"/>
        <v>0.19922999999999999</v>
      </c>
      <c r="Q125" s="215"/>
      <c r="R125" s="217">
        <v>0.19922999999999999</v>
      </c>
    </row>
    <row r="126" spans="1:18" s="51" customFormat="1" ht="21.6" customHeight="1" x14ac:dyDescent="0.3">
      <c r="A126" s="113">
        <v>2</v>
      </c>
      <c r="B126" s="55" t="s">
        <v>67</v>
      </c>
      <c r="C126" s="2" t="s">
        <v>27</v>
      </c>
      <c r="D126" s="186">
        <f t="shared" si="81"/>
        <v>255.39455999999998</v>
      </c>
      <c r="E126" s="34"/>
      <c r="F126" s="214">
        <f t="shared" si="82"/>
        <v>255.39455999999998</v>
      </c>
      <c r="G126" s="186">
        <f>H126+I126</f>
        <v>197.05081999999999</v>
      </c>
      <c r="H126" s="215"/>
      <c r="I126" s="216">
        <f>I127+I128+I129</f>
        <v>197.05081999999999</v>
      </c>
      <c r="J126" s="186">
        <f t="shared" si="84"/>
        <v>0.23054000000000002</v>
      </c>
      <c r="K126" s="215"/>
      <c r="L126" s="216">
        <f>L127+L128+L129</f>
        <v>0.23054000000000002</v>
      </c>
      <c r="M126" s="186">
        <f t="shared" si="85"/>
        <v>54.456220000000002</v>
      </c>
      <c r="N126" s="215"/>
      <c r="O126" s="216">
        <f>O127+O128+O129</f>
        <v>54.456220000000002</v>
      </c>
      <c r="P126" s="186">
        <f t="shared" si="86"/>
        <v>3.6569799999999999</v>
      </c>
      <c r="Q126" s="215"/>
      <c r="R126" s="216">
        <f>R127+R128+R129</f>
        <v>3.6569799999999999</v>
      </c>
    </row>
    <row r="127" spans="1:18" s="51" customFormat="1" ht="21.6" customHeight="1" x14ac:dyDescent="0.3">
      <c r="A127" s="113" t="s">
        <v>68</v>
      </c>
      <c r="B127" s="54" t="s">
        <v>63</v>
      </c>
      <c r="C127" s="2" t="s">
        <v>27</v>
      </c>
      <c r="D127" s="144">
        <f t="shared" si="81"/>
        <v>201.17422999999999</v>
      </c>
      <c r="E127" s="34"/>
      <c r="F127" s="214">
        <f t="shared" si="82"/>
        <v>201.17422999999999</v>
      </c>
      <c r="G127" s="144">
        <f t="shared" si="83"/>
        <v>155.21688</v>
      </c>
      <c r="H127" s="215"/>
      <c r="I127" s="216">
        <v>155.21688</v>
      </c>
      <c r="J127" s="144">
        <f t="shared" si="84"/>
        <v>0.18160000000000001</v>
      </c>
      <c r="K127" s="215"/>
      <c r="L127" s="217">
        <v>0.18160000000000001</v>
      </c>
      <c r="M127" s="144">
        <f t="shared" si="85"/>
        <v>42.895150000000001</v>
      </c>
      <c r="N127" s="215"/>
      <c r="O127" s="217">
        <v>42.895150000000001</v>
      </c>
      <c r="P127" s="144">
        <f t="shared" si="86"/>
        <v>2.8805999999999998</v>
      </c>
      <c r="Q127" s="215"/>
      <c r="R127" s="217">
        <v>2.8805999999999998</v>
      </c>
    </row>
    <row r="128" spans="1:18" s="51" customFormat="1" ht="29.4" customHeight="1" x14ac:dyDescent="0.3">
      <c r="A128" s="113" t="s">
        <v>69</v>
      </c>
      <c r="B128" s="54" t="s">
        <v>55</v>
      </c>
      <c r="C128" s="2" t="s">
        <v>27</v>
      </c>
      <c r="D128" s="144">
        <f t="shared" si="81"/>
        <v>44.258319999999998</v>
      </c>
      <c r="E128" s="34"/>
      <c r="F128" s="214">
        <f t="shared" si="82"/>
        <v>44.258319999999998</v>
      </c>
      <c r="G128" s="144">
        <f t="shared" si="83"/>
        <v>34.147709999999996</v>
      </c>
      <c r="H128" s="215"/>
      <c r="I128" s="216">
        <v>34.147709999999996</v>
      </c>
      <c r="J128" s="144">
        <f t="shared" si="84"/>
        <v>3.9949999999999999E-2</v>
      </c>
      <c r="K128" s="215"/>
      <c r="L128" s="217">
        <v>3.9949999999999999E-2</v>
      </c>
      <c r="M128" s="144">
        <f t="shared" si="85"/>
        <v>9.4369300000000003</v>
      </c>
      <c r="N128" s="215"/>
      <c r="O128" s="217">
        <v>9.4369300000000003</v>
      </c>
      <c r="P128" s="144">
        <f t="shared" si="86"/>
        <v>0.63373000000000002</v>
      </c>
      <c r="Q128" s="215"/>
      <c r="R128" s="217">
        <v>0.63373000000000002</v>
      </c>
    </row>
    <row r="129" spans="1:18" s="51" customFormat="1" ht="21.6" customHeight="1" x14ac:dyDescent="0.3">
      <c r="A129" s="113" t="s">
        <v>70</v>
      </c>
      <c r="B129" s="54" t="s">
        <v>66</v>
      </c>
      <c r="C129" s="2" t="s">
        <v>27</v>
      </c>
      <c r="D129" s="144">
        <f t="shared" si="81"/>
        <v>9.9620099999999994</v>
      </c>
      <c r="E129" s="34"/>
      <c r="F129" s="214">
        <f t="shared" si="82"/>
        <v>9.9620099999999994</v>
      </c>
      <c r="G129" s="144">
        <f t="shared" si="83"/>
        <v>7.6862300000000001</v>
      </c>
      <c r="H129" s="215"/>
      <c r="I129" s="216">
        <v>7.6862300000000001</v>
      </c>
      <c r="J129" s="144">
        <f t="shared" si="84"/>
        <v>8.9899999999999997E-3</v>
      </c>
      <c r="K129" s="215"/>
      <c r="L129" s="217">
        <v>8.9899999999999997E-3</v>
      </c>
      <c r="M129" s="144">
        <f t="shared" si="85"/>
        <v>2.1241400000000001</v>
      </c>
      <c r="N129" s="215"/>
      <c r="O129" s="217">
        <v>2.1241400000000001</v>
      </c>
      <c r="P129" s="144">
        <f t="shared" si="86"/>
        <v>0.14265</v>
      </c>
      <c r="Q129" s="215"/>
      <c r="R129" s="217">
        <v>0.14265</v>
      </c>
    </row>
    <row r="130" spans="1:18" s="51" customFormat="1" ht="21.6" customHeight="1" x14ac:dyDescent="0.3">
      <c r="A130" s="113" t="s">
        <v>71</v>
      </c>
      <c r="B130" s="56" t="s">
        <v>72</v>
      </c>
      <c r="C130" s="2" t="s">
        <v>27</v>
      </c>
      <c r="D130" s="144">
        <f t="shared" si="81"/>
        <v>0</v>
      </c>
      <c r="E130" s="34"/>
      <c r="F130" s="214">
        <f t="shared" si="82"/>
        <v>0</v>
      </c>
      <c r="G130" s="144">
        <f t="shared" si="83"/>
        <v>0</v>
      </c>
      <c r="H130" s="215"/>
      <c r="I130" s="216">
        <v>0</v>
      </c>
      <c r="J130" s="144">
        <f t="shared" si="84"/>
        <v>0</v>
      </c>
      <c r="K130" s="215"/>
      <c r="L130" s="217">
        <v>0</v>
      </c>
      <c r="M130" s="144">
        <f t="shared" si="85"/>
        <v>0</v>
      </c>
      <c r="N130" s="215"/>
      <c r="O130" s="217">
        <v>0</v>
      </c>
      <c r="P130" s="144">
        <f t="shared" si="86"/>
        <v>0</v>
      </c>
      <c r="Q130" s="215"/>
      <c r="R130" s="217">
        <v>0</v>
      </c>
    </row>
    <row r="131" spans="1:18" s="51" customFormat="1" ht="21.6" customHeight="1" x14ac:dyDescent="0.3">
      <c r="A131" s="113" t="s">
        <v>20</v>
      </c>
      <c r="B131" s="57" t="s">
        <v>63</v>
      </c>
      <c r="C131" s="2" t="s">
        <v>27</v>
      </c>
      <c r="D131" s="144">
        <f t="shared" si="81"/>
        <v>0</v>
      </c>
      <c r="E131" s="34"/>
      <c r="F131" s="214">
        <f t="shared" si="82"/>
        <v>0</v>
      </c>
      <c r="G131" s="144">
        <f t="shared" si="83"/>
        <v>0</v>
      </c>
      <c r="H131" s="215"/>
      <c r="I131" s="216">
        <v>0</v>
      </c>
      <c r="J131" s="144">
        <f t="shared" si="84"/>
        <v>0</v>
      </c>
      <c r="K131" s="215"/>
      <c r="L131" s="217">
        <v>0</v>
      </c>
      <c r="M131" s="144">
        <f t="shared" si="85"/>
        <v>0</v>
      </c>
      <c r="N131" s="215"/>
      <c r="O131" s="217">
        <v>0</v>
      </c>
      <c r="P131" s="144">
        <f t="shared" si="86"/>
        <v>0</v>
      </c>
      <c r="Q131" s="215"/>
      <c r="R131" s="217">
        <v>0</v>
      </c>
    </row>
    <row r="132" spans="1:18" s="51" customFormat="1" ht="33" customHeight="1" x14ac:dyDescent="0.3">
      <c r="A132" s="113" t="s">
        <v>73</v>
      </c>
      <c r="B132" s="57" t="s">
        <v>55</v>
      </c>
      <c r="C132" s="2" t="s">
        <v>27</v>
      </c>
      <c r="D132" s="144">
        <f t="shared" si="81"/>
        <v>0</v>
      </c>
      <c r="E132" s="34"/>
      <c r="F132" s="214">
        <f t="shared" si="82"/>
        <v>0</v>
      </c>
      <c r="G132" s="144">
        <f>H132+I132</f>
        <v>0</v>
      </c>
      <c r="H132" s="215"/>
      <c r="I132" s="216">
        <v>0</v>
      </c>
      <c r="J132" s="144">
        <f t="shared" si="84"/>
        <v>0</v>
      </c>
      <c r="K132" s="215"/>
      <c r="L132" s="217">
        <v>0</v>
      </c>
      <c r="M132" s="144">
        <f t="shared" si="85"/>
        <v>0</v>
      </c>
      <c r="N132" s="215"/>
      <c r="O132" s="217">
        <v>0</v>
      </c>
      <c r="P132" s="144">
        <f t="shared" si="86"/>
        <v>0</v>
      </c>
      <c r="Q132" s="215"/>
      <c r="R132" s="217">
        <v>0</v>
      </c>
    </row>
    <row r="133" spans="1:18" s="51" customFormat="1" ht="22.8" customHeight="1" x14ac:dyDescent="0.3">
      <c r="A133" s="113" t="s">
        <v>74</v>
      </c>
      <c r="B133" s="58" t="s">
        <v>108</v>
      </c>
      <c r="C133" s="2" t="s">
        <v>27</v>
      </c>
      <c r="D133" s="144">
        <f>E133+F133</f>
        <v>0</v>
      </c>
      <c r="E133" s="34"/>
      <c r="F133" s="214">
        <f t="shared" si="82"/>
        <v>0</v>
      </c>
      <c r="G133" s="144">
        <f t="shared" ref="G133:G135" si="87">H133+I133</f>
        <v>0</v>
      </c>
      <c r="H133" s="215"/>
      <c r="I133" s="216">
        <v>0</v>
      </c>
      <c r="J133" s="144">
        <f t="shared" si="84"/>
        <v>0</v>
      </c>
      <c r="K133" s="215"/>
      <c r="L133" s="217">
        <v>0</v>
      </c>
      <c r="M133" s="144">
        <f t="shared" si="85"/>
        <v>0</v>
      </c>
      <c r="N133" s="215"/>
      <c r="O133" s="217">
        <v>0</v>
      </c>
      <c r="P133" s="144">
        <f t="shared" si="86"/>
        <v>0</v>
      </c>
      <c r="Q133" s="215"/>
      <c r="R133" s="217">
        <v>0</v>
      </c>
    </row>
    <row r="134" spans="1:18" s="51" customFormat="1" ht="22.8" customHeight="1" x14ac:dyDescent="0.3">
      <c r="A134" s="113" t="s">
        <v>24</v>
      </c>
      <c r="B134" s="55" t="s">
        <v>120</v>
      </c>
      <c r="C134" s="2" t="s">
        <v>27</v>
      </c>
      <c r="D134" s="144">
        <f t="shared" si="81"/>
        <v>0</v>
      </c>
      <c r="E134" s="34"/>
      <c r="F134" s="214">
        <f t="shared" si="82"/>
        <v>0</v>
      </c>
      <c r="G134" s="144">
        <f t="shared" si="87"/>
        <v>0</v>
      </c>
      <c r="H134" s="215"/>
      <c r="I134" s="216">
        <v>0</v>
      </c>
      <c r="J134" s="144">
        <f t="shared" si="84"/>
        <v>0</v>
      </c>
      <c r="K134" s="215"/>
      <c r="L134" s="217">
        <v>0</v>
      </c>
      <c r="M134" s="144">
        <f t="shared" si="85"/>
        <v>0</v>
      </c>
      <c r="N134" s="215"/>
      <c r="O134" s="217">
        <v>0</v>
      </c>
      <c r="P134" s="144">
        <f t="shared" si="86"/>
        <v>0</v>
      </c>
      <c r="Q134" s="215"/>
      <c r="R134" s="217">
        <v>0</v>
      </c>
    </row>
    <row r="135" spans="1:18" s="51" customFormat="1" ht="22.8" customHeight="1" x14ac:dyDescent="0.3">
      <c r="A135" s="113" t="s">
        <v>76</v>
      </c>
      <c r="B135" s="55" t="s">
        <v>77</v>
      </c>
      <c r="C135" s="2" t="s">
        <v>27</v>
      </c>
      <c r="D135" s="144">
        <f t="shared" si="81"/>
        <v>0</v>
      </c>
      <c r="E135" s="34"/>
      <c r="F135" s="214">
        <f t="shared" si="82"/>
        <v>0</v>
      </c>
      <c r="G135" s="144">
        <f t="shared" si="87"/>
        <v>0</v>
      </c>
      <c r="H135" s="215"/>
      <c r="I135" s="216">
        <v>0</v>
      </c>
      <c r="J135" s="144">
        <f t="shared" si="84"/>
        <v>0</v>
      </c>
      <c r="K135" s="215"/>
      <c r="L135" s="217">
        <v>0</v>
      </c>
      <c r="M135" s="144">
        <f t="shared" si="85"/>
        <v>0</v>
      </c>
      <c r="N135" s="215"/>
      <c r="O135" s="217">
        <v>0</v>
      </c>
      <c r="P135" s="144">
        <f t="shared" si="86"/>
        <v>0</v>
      </c>
      <c r="Q135" s="215"/>
      <c r="R135" s="217">
        <v>0</v>
      </c>
    </row>
    <row r="136" spans="1:18" s="51" customFormat="1" ht="22.8" customHeight="1" x14ac:dyDescent="0.3">
      <c r="A136" s="113" t="s">
        <v>78</v>
      </c>
      <c r="B136" s="55" t="s">
        <v>110</v>
      </c>
      <c r="C136" s="2" t="s">
        <v>27</v>
      </c>
      <c r="D136" s="223">
        <f>E136+F136</f>
        <v>2788.63627</v>
      </c>
      <c r="E136" s="34"/>
      <c r="F136" s="190">
        <f>F135+F134+F130+F126+F115</f>
        <v>2788.63627</v>
      </c>
      <c r="G136" s="224">
        <f>H136+I136</f>
        <v>2151.5847799999997</v>
      </c>
      <c r="H136" s="215"/>
      <c r="I136" s="190">
        <f>I135+I134+I130+I126+I115</f>
        <v>2151.5847799999997</v>
      </c>
      <c r="J136" s="224">
        <f>K136+L136</f>
        <v>2.5173399999999999</v>
      </c>
      <c r="K136" s="215"/>
      <c r="L136" s="189">
        <f>L135+L134+L130+L126+L115</f>
        <v>2.5173399999999999</v>
      </c>
      <c r="M136" s="224">
        <f>N136+O136</f>
        <v>594.60390000000007</v>
      </c>
      <c r="N136" s="215"/>
      <c r="O136" s="189">
        <f>O135+O134+O130+O126+O115</f>
        <v>594.60390000000007</v>
      </c>
      <c r="P136" s="224">
        <f>Q136+R136</f>
        <v>39.930250000000001</v>
      </c>
      <c r="Q136" s="215"/>
      <c r="R136" s="188">
        <f>R135+R134+R130+R126+R115</f>
        <v>39.930250000000001</v>
      </c>
    </row>
    <row r="137" spans="1:18" s="51" customFormat="1" ht="22.8" customHeight="1" x14ac:dyDescent="0.3">
      <c r="A137" s="113" t="s">
        <v>80</v>
      </c>
      <c r="B137" s="55" t="s">
        <v>81</v>
      </c>
      <c r="C137" s="2" t="s">
        <v>27</v>
      </c>
      <c r="D137" s="144">
        <f t="shared" ref="D137" si="88">E137+F137</f>
        <v>0</v>
      </c>
      <c r="E137" s="34"/>
      <c r="F137" s="148">
        <f t="shared" ref="F137:G137" si="89">G137+H137</f>
        <v>0</v>
      </c>
      <c r="G137" s="144">
        <f t="shared" si="89"/>
        <v>0</v>
      </c>
      <c r="H137" s="215"/>
      <c r="I137" s="148">
        <f t="shared" ref="I137:J137" si="90">J137+K137</f>
        <v>0</v>
      </c>
      <c r="J137" s="144">
        <f t="shared" si="90"/>
        <v>0</v>
      </c>
      <c r="K137" s="215"/>
      <c r="L137" s="148">
        <f t="shared" ref="L137:M137" si="91">M137+N137</f>
        <v>0</v>
      </c>
      <c r="M137" s="144">
        <f t="shared" si="91"/>
        <v>0</v>
      </c>
      <c r="N137" s="215"/>
      <c r="O137" s="148">
        <f t="shared" ref="O137:P137" si="92">P137+Q137</f>
        <v>0</v>
      </c>
      <c r="P137" s="144">
        <f t="shared" si="92"/>
        <v>0</v>
      </c>
      <c r="Q137" s="215"/>
      <c r="R137" s="180">
        <f t="shared" ref="R137" si="93">S137+T137</f>
        <v>0</v>
      </c>
    </row>
    <row r="138" spans="1:18" s="51" customFormat="1" ht="22.8" customHeight="1" x14ac:dyDescent="0.3">
      <c r="A138" s="113" t="s">
        <v>82</v>
      </c>
      <c r="B138" s="55" t="s">
        <v>121</v>
      </c>
      <c r="C138" s="2" t="s">
        <v>27</v>
      </c>
      <c r="D138" s="224">
        <f>D139+D140+D141+D142+D143</f>
        <v>68.015518780487795</v>
      </c>
      <c r="E138" s="215"/>
      <c r="F138" s="225">
        <f t="shared" ref="F138:R138" si="94">F139+F140+F141+F142+F143</f>
        <v>68.015518780487795</v>
      </c>
      <c r="G138" s="224">
        <f t="shared" si="94"/>
        <v>52.477677560975593</v>
      </c>
      <c r="H138" s="215"/>
      <c r="I138" s="225">
        <f t="shared" si="94"/>
        <v>52.477677560975593</v>
      </c>
      <c r="J138" s="226">
        <f t="shared" si="94"/>
        <v>6.1398536585365843E-2</v>
      </c>
      <c r="K138" s="215"/>
      <c r="L138" s="227">
        <f t="shared" si="94"/>
        <v>6.1398536585365843E-2</v>
      </c>
      <c r="M138" s="226">
        <f t="shared" si="94"/>
        <v>14.502534146341464</v>
      </c>
      <c r="N138" s="215"/>
      <c r="O138" s="227">
        <f t="shared" si="94"/>
        <v>14.502534146341464</v>
      </c>
      <c r="P138" s="226">
        <f t="shared" si="94"/>
        <v>0.9739085365853658</v>
      </c>
      <c r="Q138" s="215"/>
      <c r="R138" s="227">
        <f t="shared" si="94"/>
        <v>0.9739085365853658</v>
      </c>
    </row>
    <row r="139" spans="1:18" s="51" customFormat="1" ht="22.8" customHeight="1" x14ac:dyDescent="0.3">
      <c r="A139" s="113" t="s">
        <v>84</v>
      </c>
      <c r="B139" s="54" t="s">
        <v>85</v>
      </c>
      <c r="C139" s="2" t="s">
        <v>27</v>
      </c>
      <c r="D139" s="144">
        <f>E139+F139</f>
        <v>12.242793380487797</v>
      </c>
      <c r="E139" s="145"/>
      <c r="F139" s="148">
        <f>(F143+F142)/(100%-18%)-(F143+F142)</f>
        <v>12.242793380487797</v>
      </c>
      <c r="G139" s="144">
        <f t="shared" ref="G139:G142" si="95">H139+I139</f>
        <v>9.4459819609756011</v>
      </c>
      <c r="H139" s="215"/>
      <c r="I139" s="148">
        <f>(I143+I142)/(100%-18%)-(I143+I142)</f>
        <v>9.4459819609756011</v>
      </c>
      <c r="J139" s="144">
        <f t="shared" ref="J139:J143" si="96">K139+L139</f>
        <v>1.1051736585365846E-2</v>
      </c>
      <c r="K139" s="215"/>
      <c r="L139" s="148">
        <f>(L143+L142)/(100%-18%)-(L143+L142)</f>
        <v>1.1051736585365846E-2</v>
      </c>
      <c r="M139" s="144">
        <f t="shared" ref="M139:M143" si="97">N139+O139</f>
        <v>2.6104561463414626</v>
      </c>
      <c r="N139" s="215"/>
      <c r="O139" s="148">
        <f>(O143+O142)/(100%-18%)-(O143+O142)</f>
        <v>2.6104561463414626</v>
      </c>
      <c r="P139" s="144">
        <f t="shared" ref="P139:P143" si="98">Q139+R139</f>
        <v>0.17530353658536579</v>
      </c>
      <c r="Q139" s="215"/>
      <c r="R139" s="192">
        <f>(R143+R142)/(100%-18%)-(R143+R142)</f>
        <v>0.17530353658536579</v>
      </c>
    </row>
    <row r="140" spans="1:18" s="51" customFormat="1" ht="24" customHeight="1" x14ac:dyDescent="0.3">
      <c r="A140" s="113" t="s">
        <v>86</v>
      </c>
      <c r="B140" s="54" t="s">
        <v>113</v>
      </c>
      <c r="C140" s="2" t="s">
        <v>27</v>
      </c>
      <c r="D140" s="144">
        <f t="shared" ref="D140:D143" si="99">E140+F140</f>
        <v>0</v>
      </c>
      <c r="E140" s="145"/>
      <c r="F140" s="148">
        <v>0</v>
      </c>
      <c r="G140" s="144">
        <f t="shared" si="95"/>
        <v>0</v>
      </c>
      <c r="H140" s="145"/>
      <c r="I140" s="148">
        <v>0</v>
      </c>
      <c r="J140" s="144">
        <f t="shared" si="96"/>
        <v>0</v>
      </c>
      <c r="K140" s="145"/>
      <c r="L140" s="148">
        <v>0</v>
      </c>
      <c r="M140" s="144">
        <f t="shared" si="97"/>
        <v>0</v>
      </c>
      <c r="N140" s="145"/>
      <c r="O140" s="148">
        <v>0</v>
      </c>
      <c r="P140" s="144">
        <f t="shared" si="98"/>
        <v>0</v>
      </c>
      <c r="Q140" s="145"/>
      <c r="R140" s="192">
        <v>0</v>
      </c>
    </row>
    <row r="141" spans="1:18" s="51" customFormat="1" ht="24" customHeight="1" x14ac:dyDescent="0.3">
      <c r="A141" s="113" t="s">
        <v>88</v>
      </c>
      <c r="B141" s="54" t="s">
        <v>114</v>
      </c>
      <c r="C141" s="2" t="s">
        <v>27</v>
      </c>
      <c r="D141" s="144">
        <f t="shared" si="99"/>
        <v>0</v>
      </c>
      <c r="E141" s="145"/>
      <c r="F141" s="148">
        <v>0</v>
      </c>
      <c r="G141" s="144">
        <f t="shared" si="95"/>
        <v>0</v>
      </c>
      <c r="H141" s="145"/>
      <c r="I141" s="148">
        <v>0</v>
      </c>
      <c r="J141" s="144">
        <f t="shared" si="96"/>
        <v>0</v>
      </c>
      <c r="K141" s="145"/>
      <c r="L141" s="148">
        <v>0</v>
      </c>
      <c r="M141" s="144">
        <f t="shared" si="97"/>
        <v>0</v>
      </c>
      <c r="N141" s="145"/>
      <c r="O141" s="148">
        <v>0</v>
      </c>
      <c r="P141" s="144">
        <f t="shared" si="98"/>
        <v>0</v>
      </c>
      <c r="Q141" s="145"/>
      <c r="R141" s="192">
        <v>0</v>
      </c>
    </row>
    <row r="142" spans="1:18" s="51" customFormat="1" ht="24" customHeight="1" x14ac:dyDescent="0.3">
      <c r="A142" s="113" t="s">
        <v>90</v>
      </c>
      <c r="B142" s="54" t="s">
        <v>91</v>
      </c>
      <c r="C142" s="2" t="s">
        <v>27</v>
      </c>
      <c r="D142" s="144">
        <f t="shared" si="99"/>
        <v>0</v>
      </c>
      <c r="E142" s="145"/>
      <c r="F142" s="148">
        <v>0</v>
      </c>
      <c r="G142" s="144">
        <f t="shared" si="95"/>
        <v>0</v>
      </c>
      <c r="H142" s="145"/>
      <c r="I142" s="148">
        <v>0</v>
      </c>
      <c r="J142" s="144">
        <f t="shared" si="96"/>
        <v>0</v>
      </c>
      <c r="K142" s="145"/>
      <c r="L142" s="148">
        <v>0</v>
      </c>
      <c r="M142" s="144">
        <f t="shared" si="97"/>
        <v>0</v>
      </c>
      <c r="N142" s="145"/>
      <c r="O142" s="148">
        <v>0</v>
      </c>
      <c r="P142" s="144">
        <f>Q142+R142</f>
        <v>0</v>
      </c>
      <c r="Q142" s="145"/>
      <c r="R142" s="192">
        <v>0</v>
      </c>
    </row>
    <row r="143" spans="1:18" s="51" customFormat="1" ht="24" customHeight="1" x14ac:dyDescent="0.3">
      <c r="A143" s="113" t="s">
        <v>92</v>
      </c>
      <c r="B143" s="54" t="s">
        <v>93</v>
      </c>
      <c r="C143" s="2" t="s">
        <v>27</v>
      </c>
      <c r="D143" s="144">
        <f t="shared" si="99"/>
        <v>55.772725399999999</v>
      </c>
      <c r="E143" s="145"/>
      <c r="F143" s="193">
        <f>F136*0.02</f>
        <v>55.772725399999999</v>
      </c>
      <c r="G143" s="144">
        <f>H143+I143</f>
        <v>43.031695599999992</v>
      </c>
      <c r="H143" s="215"/>
      <c r="I143" s="193">
        <f>I136*0.02</f>
        <v>43.031695599999992</v>
      </c>
      <c r="J143" s="144">
        <f t="shared" si="96"/>
        <v>5.0346799999999997E-2</v>
      </c>
      <c r="K143" s="215"/>
      <c r="L143" s="193">
        <f>L136*0.02</f>
        <v>5.0346799999999997E-2</v>
      </c>
      <c r="M143" s="144">
        <f t="shared" si="97"/>
        <v>11.892078000000001</v>
      </c>
      <c r="N143" s="215"/>
      <c r="O143" s="193">
        <f>O136*0.02</f>
        <v>11.892078000000001</v>
      </c>
      <c r="P143" s="144">
        <f t="shared" si="98"/>
        <v>0.79860500000000001</v>
      </c>
      <c r="Q143" s="215"/>
      <c r="R143" s="228">
        <f>R136*0.02</f>
        <v>0.79860500000000001</v>
      </c>
    </row>
    <row r="144" spans="1:18" s="51" customFormat="1" ht="35.4" customHeight="1" thickBot="1" x14ac:dyDescent="0.35">
      <c r="A144" s="113" t="s">
        <v>94</v>
      </c>
      <c r="B144" s="59" t="s">
        <v>122</v>
      </c>
      <c r="C144" s="14" t="s">
        <v>27</v>
      </c>
      <c r="D144" s="229">
        <f>D136+D137+D138</f>
        <v>2856.6517887804875</v>
      </c>
      <c r="E144" s="230"/>
      <c r="F144" s="231">
        <f>F136+F137+F138</f>
        <v>2856.6517887804875</v>
      </c>
      <c r="G144" s="229">
        <f t="shared" ref="G144:P144" si="100">G136+G137+G138</f>
        <v>2204.0624575609754</v>
      </c>
      <c r="H144" s="230"/>
      <c r="I144" s="232">
        <f t="shared" ref="I144" si="101">I136+I137+I138</f>
        <v>2204.0624575609754</v>
      </c>
      <c r="J144" s="233">
        <f>J136+J137+J138</f>
        <v>2.5787385365853659</v>
      </c>
      <c r="K144" s="230"/>
      <c r="L144" s="234">
        <f t="shared" ref="L144" si="102">L136+L137+L138</f>
        <v>2.5787385365853659</v>
      </c>
      <c r="M144" s="233">
        <f t="shared" si="100"/>
        <v>609.10643414634148</v>
      </c>
      <c r="N144" s="230"/>
      <c r="O144" s="234">
        <f t="shared" ref="O144" si="103">O136+O137+O138</f>
        <v>609.10643414634148</v>
      </c>
      <c r="P144" s="233">
        <f t="shared" si="100"/>
        <v>40.904158536585363</v>
      </c>
      <c r="Q144" s="230"/>
      <c r="R144" s="234">
        <f t="shared" ref="R144" si="104">R136+R137+R138</f>
        <v>40.904158536585363</v>
      </c>
    </row>
    <row r="145" spans="1:18" s="51" customFormat="1" ht="35.4" customHeight="1" x14ac:dyDescent="0.3">
      <c r="A145" s="114" t="s">
        <v>131</v>
      </c>
      <c r="B145" s="60" t="s">
        <v>150</v>
      </c>
      <c r="C145" s="48" t="s">
        <v>133</v>
      </c>
      <c r="D145" s="200" t="s">
        <v>129</v>
      </c>
      <c r="E145" s="199" t="s">
        <v>129</v>
      </c>
      <c r="F145" s="197" t="s">
        <v>129</v>
      </c>
      <c r="G145" s="200" t="s">
        <v>129</v>
      </c>
      <c r="H145" s="199" t="s">
        <v>129</v>
      </c>
      <c r="I145" s="197" t="s">
        <v>129</v>
      </c>
      <c r="J145" s="200" t="s">
        <v>129</v>
      </c>
      <c r="K145" s="199" t="s">
        <v>129</v>
      </c>
      <c r="L145" s="197" t="s">
        <v>129</v>
      </c>
      <c r="M145" s="200" t="s">
        <v>129</v>
      </c>
      <c r="N145" s="199" t="s">
        <v>129</v>
      </c>
      <c r="O145" s="197" t="s">
        <v>129</v>
      </c>
      <c r="P145" s="200" t="s">
        <v>129</v>
      </c>
      <c r="Q145" s="199" t="s">
        <v>129</v>
      </c>
      <c r="R145" s="197" t="s">
        <v>129</v>
      </c>
    </row>
    <row r="146" spans="1:18" s="51" customFormat="1" ht="25.8" customHeight="1" x14ac:dyDescent="0.3">
      <c r="A146" s="115" t="s">
        <v>134</v>
      </c>
      <c r="B146" s="41" t="s">
        <v>135</v>
      </c>
      <c r="C146" s="40" t="s">
        <v>136</v>
      </c>
      <c r="D146" s="235" t="s">
        <v>129</v>
      </c>
      <c r="E146" s="161" t="s">
        <v>129</v>
      </c>
      <c r="F146" s="236" t="s">
        <v>129</v>
      </c>
      <c r="G146" s="235" t="s">
        <v>129</v>
      </c>
      <c r="H146" s="161" t="s">
        <v>129</v>
      </c>
      <c r="I146" s="162" t="s">
        <v>129</v>
      </c>
      <c r="J146" s="235" t="s">
        <v>129</v>
      </c>
      <c r="K146" s="161" t="s">
        <v>129</v>
      </c>
      <c r="L146" s="162" t="s">
        <v>129</v>
      </c>
      <c r="M146" s="235" t="s">
        <v>129</v>
      </c>
      <c r="N146" s="161" t="s">
        <v>129</v>
      </c>
      <c r="O146" s="162" t="s">
        <v>129</v>
      </c>
      <c r="P146" s="237" t="s">
        <v>129</v>
      </c>
      <c r="Q146" s="161" t="s">
        <v>129</v>
      </c>
      <c r="R146" s="162" t="s">
        <v>129</v>
      </c>
    </row>
    <row r="147" spans="1:18" s="51" customFormat="1" ht="35.4" customHeight="1" x14ac:dyDescent="0.3">
      <c r="A147" s="115" t="s">
        <v>137</v>
      </c>
      <c r="B147" s="41" t="s">
        <v>144</v>
      </c>
      <c r="C147" s="40" t="s">
        <v>138</v>
      </c>
      <c r="D147" s="160">
        <f>F147</f>
        <v>98802.322458581926</v>
      </c>
      <c r="E147" s="161" t="s">
        <v>129</v>
      </c>
      <c r="F147" s="162">
        <f>F144/F15*1000</f>
        <v>98802.322458581926</v>
      </c>
      <c r="G147" s="160">
        <f>I147</f>
        <v>98802.322844967915</v>
      </c>
      <c r="H147" s="161" t="s">
        <v>129</v>
      </c>
      <c r="I147" s="162">
        <f>I144/I15*1000</f>
        <v>98802.322844967915</v>
      </c>
      <c r="J147" s="160">
        <f>L147</f>
        <v>98802.322781048497</v>
      </c>
      <c r="K147" s="161" t="s">
        <v>129</v>
      </c>
      <c r="L147" s="162">
        <f>L144/L15*1000+0.08</f>
        <v>98802.322781048497</v>
      </c>
      <c r="M147" s="160">
        <f>O147</f>
        <v>98802.321878106944</v>
      </c>
      <c r="N147" s="161" t="s">
        <v>129</v>
      </c>
      <c r="O147" s="162">
        <f>O144/O15*1000</f>
        <v>98802.321878106944</v>
      </c>
      <c r="P147" s="160">
        <f>R147</f>
        <v>98802.315305761746</v>
      </c>
      <c r="Q147" s="161" t="s">
        <v>129</v>
      </c>
      <c r="R147" s="162">
        <f>R144/R15*1000</f>
        <v>98802.315305761746</v>
      </c>
    </row>
    <row r="148" spans="1:18" s="51" customFormat="1" ht="35.4" customHeight="1" thickBot="1" x14ac:dyDescent="0.35">
      <c r="A148" s="116" t="s">
        <v>139</v>
      </c>
      <c r="B148" s="42" t="s">
        <v>146</v>
      </c>
      <c r="C148" s="43" t="s">
        <v>138</v>
      </c>
      <c r="D148" s="163">
        <f t="shared" ref="D148:R148" si="105">IFERROR(D147/12,"х")</f>
        <v>8233.5268715484945</v>
      </c>
      <c r="E148" s="164" t="str">
        <f t="shared" si="105"/>
        <v>х</v>
      </c>
      <c r="F148" s="165">
        <f>IFERROR(F147/12,"х")</f>
        <v>8233.5268715484945</v>
      </c>
      <c r="G148" s="163">
        <f t="shared" si="105"/>
        <v>8233.5269037473263</v>
      </c>
      <c r="H148" s="164" t="str">
        <f t="shared" si="105"/>
        <v>х</v>
      </c>
      <c r="I148" s="165">
        <f t="shared" si="105"/>
        <v>8233.5269037473263</v>
      </c>
      <c r="J148" s="163">
        <f t="shared" si="105"/>
        <v>8233.5268984207087</v>
      </c>
      <c r="K148" s="164" t="str">
        <f t="shared" si="105"/>
        <v>х</v>
      </c>
      <c r="L148" s="165">
        <f t="shared" si="105"/>
        <v>8233.5268984207087</v>
      </c>
      <c r="M148" s="163">
        <f t="shared" si="105"/>
        <v>8233.5268231755781</v>
      </c>
      <c r="N148" s="164" t="str">
        <f t="shared" si="105"/>
        <v>х</v>
      </c>
      <c r="O148" s="165">
        <f t="shared" si="105"/>
        <v>8233.5268231755781</v>
      </c>
      <c r="P148" s="163">
        <f t="shared" si="105"/>
        <v>8233.5262754801461</v>
      </c>
      <c r="Q148" s="164" t="str">
        <f t="shared" si="105"/>
        <v>х</v>
      </c>
      <c r="R148" s="165">
        <f t="shared" si="105"/>
        <v>8233.5262754801461</v>
      </c>
    </row>
    <row r="149" spans="1:18" s="51" customFormat="1" ht="35.4" customHeight="1" x14ac:dyDescent="0.3">
      <c r="A149" s="104" t="s">
        <v>140</v>
      </c>
      <c r="B149" s="117" t="s">
        <v>151</v>
      </c>
      <c r="C149" s="108" t="s">
        <v>133</v>
      </c>
      <c r="D149" s="238" t="s">
        <v>129</v>
      </c>
      <c r="E149" s="239" t="s">
        <v>129</v>
      </c>
      <c r="F149" s="240" t="s">
        <v>129</v>
      </c>
      <c r="G149" s="238" t="s">
        <v>129</v>
      </c>
      <c r="H149" s="239" t="s">
        <v>129</v>
      </c>
      <c r="I149" s="240" t="s">
        <v>129</v>
      </c>
      <c r="J149" s="238" t="s">
        <v>129</v>
      </c>
      <c r="K149" s="239" t="s">
        <v>129</v>
      </c>
      <c r="L149" s="240" t="s">
        <v>129</v>
      </c>
      <c r="M149" s="238" t="s">
        <v>129</v>
      </c>
      <c r="N149" s="239" t="s">
        <v>129</v>
      </c>
      <c r="O149" s="240" t="s">
        <v>129</v>
      </c>
      <c r="P149" s="238" t="s">
        <v>129</v>
      </c>
      <c r="Q149" s="239" t="s">
        <v>129</v>
      </c>
      <c r="R149" s="240" t="s">
        <v>129</v>
      </c>
    </row>
    <row r="150" spans="1:18" s="51" customFormat="1" ht="35.4" customHeight="1" x14ac:dyDescent="0.3">
      <c r="A150" s="94" t="s">
        <v>142</v>
      </c>
      <c r="B150" s="107" t="s">
        <v>135</v>
      </c>
      <c r="C150" s="108" t="s">
        <v>136</v>
      </c>
      <c r="D150" s="211" t="s">
        <v>129</v>
      </c>
      <c r="E150" s="210" t="s">
        <v>129</v>
      </c>
      <c r="F150" s="174" t="s">
        <v>129</v>
      </c>
      <c r="G150" s="211" t="s">
        <v>129</v>
      </c>
      <c r="H150" s="210" t="s">
        <v>129</v>
      </c>
      <c r="I150" s="174" t="s">
        <v>129</v>
      </c>
      <c r="J150" s="211" t="s">
        <v>129</v>
      </c>
      <c r="K150" s="210" t="s">
        <v>129</v>
      </c>
      <c r="L150" s="174" t="s">
        <v>129</v>
      </c>
      <c r="M150" s="211" t="s">
        <v>129</v>
      </c>
      <c r="N150" s="210" t="s">
        <v>129</v>
      </c>
      <c r="O150" s="174" t="s">
        <v>129</v>
      </c>
      <c r="P150" s="211" t="s">
        <v>129</v>
      </c>
      <c r="Q150" s="210" t="s">
        <v>129</v>
      </c>
      <c r="R150" s="174" t="s">
        <v>129</v>
      </c>
    </row>
    <row r="151" spans="1:18" s="51" customFormat="1" ht="35.4" customHeight="1" x14ac:dyDescent="0.3">
      <c r="A151" s="94" t="s">
        <v>143</v>
      </c>
      <c r="B151" s="107" t="s">
        <v>144</v>
      </c>
      <c r="C151" s="108" t="s">
        <v>138</v>
      </c>
      <c r="D151" s="211">
        <f>F151</f>
        <v>118562.78695029831</v>
      </c>
      <c r="E151" s="212" t="s">
        <v>129</v>
      </c>
      <c r="F151" s="213">
        <f>F147*1.2</f>
        <v>118562.78695029831</v>
      </c>
      <c r="G151" s="211">
        <f>G147*1.2</f>
        <v>118562.78741396149</v>
      </c>
      <c r="H151" s="212" t="s">
        <v>129</v>
      </c>
      <c r="I151" s="213">
        <f>I147*1.2</f>
        <v>118562.78741396149</v>
      </c>
      <c r="J151" s="211">
        <f>L151</f>
        <v>118562.7873372582</v>
      </c>
      <c r="K151" s="212" t="s">
        <v>129</v>
      </c>
      <c r="L151" s="213">
        <f>L147*1.2</f>
        <v>118562.7873372582</v>
      </c>
      <c r="M151" s="211">
        <f>O151</f>
        <v>118562.78625372832</v>
      </c>
      <c r="N151" s="212" t="s">
        <v>129</v>
      </c>
      <c r="O151" s="213">
        <f>O147*1.2</f>
        <v>118562.78625372832</v>
      </c>
      <c r="P151" s="211">
        <f>R151</f>
        <v>118562.78836691409</v>
      </c>
      <c r="Q151" s="212" t="s">
        <v>129</v>
      </c>
      <c r="R151" s="213">
        <f>R147*1.2+0.01</f>
        <v>118562.78836691409</v>
      </c>
    </row>
    <row r="152" spans="1:18" s="51" customFormat="1" ht="35.4" customHeight="1" thickBot="1" x14ac:dyDescent="0.35">
      <c r="A152" s="97" t="s">
        <v>149</v>
      </c>
      <c r="B152" s="109" t="s">
        <v>146</v>
      </c>
      <c r="C152" s="110" t="s">
        <v>138</v>
      </c>
      <c r="D152" s="241">
        <f>D148*1.2</f>
        <v>9880.232245858193</v>
      </c>
      <c r="E152" s="242" t="s">
        <v>129</v>
      </c>
      <c r="F152" s="243">
        <f>F148*1.2</f>
        <v>9880.232245858193</v>
      </c>
      <c r="G152" s="241">
        <f>G148*1.2</f>
        <v>9880.2322844967912</v>
      </c>
      <c r="H152" s="242" t="s">
        <v>129</v>
      </c>
      <c r="I152" s="243">
        <f>I148*1.2</f>
        <v>9880.2322844967912</v>
      </c>
      <c r="J152" s="241">
        <f>J148*1.2</f>
        <v>9880.2322781048497</v>
      </c>
      <c r="K152" s="242" t="s">
        <v>129</v>
      </c>
      <c r="L152" s="243">
        <f>L148*1.2</f>
        <v>9880.2322781048497</v>
      </c>
      <c r="M152" s="241">
        <f>M148*1.2</f>
        <v>9880.2321878106941</v>
      </c>
      <c r="N152" s="242" t="s">
        <v>129</v>
      </c>
      <c r="O152" s="243">
        <f>O148*1.2</f>
        <v>9880.2321878106941</v>
      </c>
      <c r="P152" s="241">
        <f>P148*1.2</f>
        <v>9880.2315305761749</v>
      </c>
      <c r="Q152" s="242" t="s">
        <v>129</v>
      </c>
      <c r="R152" s="243">
        <f>R148*1.2</f>
        <v>9880.2315305761749</v>
      </c>
    </row>
    <row r="153" spans="1:18" s="51" customFormat="1" ht="69" customHeight="1" thickBot="1" x14ac:dyDescent="0.35">
      <c r="A153" s="118"/>
      <c r="B153" s="355" t="s">
        <v>160</v>
      </c>
      <c r="C153" s="356"/>
      <c r="D153" s="356"/>
      <c r="E153" s="356"/>
      <c r="F153" s="356"/>
      <c r="G153" s="356"/>
      <c r="H153" s="356"/>
      <c r="I153" s="356"/>
      <c r="J153" s="356"/>
      <c r="K153" s="356"/>
      <c r="L153" s="356"/>
      <c r="M153" s="356"/>
      <c r="N153" s="356"/>
      <c r="O153" s="356"/>
      <c r="P153" s="356"/>
      <c r="Q153" s="356"/>
      <c r="R153" s="357"/>
    </row>
    <row r="154" spans="1:18" s="51" customFormat="1" ht="46.2" customHeight="1" x14ac:dyDescent="0.3">
      <c r="A154" s="119" t="s">
        <v>131</v>
      </c>
      <c r="B154" s="120" t="s">
        <v>152</v>
      </c>
      <c r="C154" s="121" t="s">
        <v>133</v>
      </c>
      <c r="D154" s="200" t="s">
        <v>129</v>
      </c>
      <c r="E154" s="199" t="s">
        <v>129</v>
      </c>
      <c r="F154" s="197" t="s">
        <v>129</v>
      </c>
      <c r="G154" s="200" t="s">
        <v>129</v>
      </c>
      <c r="H154" s="199" t="s">
        <v>129</v>
      </c>
      <c r="I154" s="197" t="s">
        <v>129</v>
      </c>
      <c r="J154" s="200" t="s">
        <v>129</v>
      </c>
      <c r="K154" s="199" t="s">
        <v>129</v>
      </c>
      <c r="L154" s="197" t="s">
        <v>129</v>
      </c>
      <c r="M154" s="200" t="s">
        <v>129</v>
      </c>
      <c r="N154" s="199" t="s">
        <v>129</v>
      </c>
      <c r="O154" s="197" t="s">
        <v>129</v>
      </c>
      <c r="P154" s="200" t="s">
        <v>129</v>
      </c>
      <c r="Q154" s="199" t="s">
        <v>129</v>
      </c>
      <c r="R154" s="197" t="s">
        <v>129</v>
      </c>
    </row>
    <row r="155" spans="1:18" s="51" customFormat="1" ht="35.4" customHeight="1" x14ac:dyDescent="0.3">
      <c r="A155" s="122" t="s">
        <v>134</v>
      </c>
      <c r="B155" s="123" t="s">
        <v>135</v>
      </c>
      <c r="C155" s="124" t="s">
        <v>136</v>
      </c>
      <c r="D155" s="235">
        <f>E155</f>
        <v>1815.737525950773</v>
      </c>
      <c r="E155" s="161">
        <f>E62+E107</f>
        <v>1815.737525950773</v>
      </c>
      <c r="F155" s="162" t="s">
        <v>129</v>
      </c>
      <c r="G155" s="235">
        <f>H155</f>
        <v>1579.977297636869</v>
      </c>
      <c r="H155" s="161">
        <f>H62+H107</f>
        <v>1579.977297636869</v>
      </c>
      <c r="I155" s="162" t="s">
        <v>129</v>
      </c>
      <c r="J155" s="235">
        <f>K155</f>
        <v>2611.9991117717163</v>
      </c>
      <c r="K155" s="161">
        <f>K62+K107+0.01</f>
        <v>2611.9991117717163</v>
      </c>
      <c r="L155" s="162" t="s">
        <v>129</v>
      </c>
      <c r="M155" s="235">
        <f>N155</f>
        <v>2611.9967396686638</v>
      </c>
      <c r="N155" s="161">
        <f>N62+N107</f>
        <v>2611.9967396686638</v>
      </c>
      <c r="O155" s="162" t="s">
        <v>129</v>
      </c>
      <c r="P155" s="235">
        <f>Q155</f>
        <v>2611.9973922209324</v>
      </c>
      <c r="Q155" s="161">
        <f>Q62+Q107</f>
        <v>2611.9973922209324</v>
      </c>
      <c r="R155" s="162" t="s">
        <v>129</v>
      </c>
    </row>
    <row r="156" spans="1:18" s="51" customFormat="1" ht="35.4" customHeight="1" x14ac:dyDescent="0.3">
      <c r="A156" s="122" t="s">
        <v>137</v>
      </c>
      <c r="B156" s="123" t="s">
        <v>144</v>
      </c>
      <c r="C156" s="124" t="s">
        <v>138</v>
      </c>
      <c r="D156" s="235">
        <f>F156</f>
        <v>2715510.259140858</v>
      </c>
      <c r="E156" s="161" t="s">
        <v>129</v>
      </c>
      <c r="F156" s="162">
        <f>F63+F108+F147</f>
        <v>2715510.259140858</v>
      </c>
      <c r="G156" s="235">
        <f>I156</f>
        <v>2689313.4194011539</v>
      </c>
      <c r="H156" s="161" t="s">
        <v>129</v>
      </c>
      <c r="I156" s="162">
        <f>I63+I108+I147</f>
        <v>2689313.4194011539</v>
      </c>
      <c r="J156" s="235">
        <f>L156</f>
        <v>2803987.7578459955</v>
      </c>
      <c r="K156" s="161" t="s">
        <v>129</v>
      </c>
      <c r="L156" s="162">
        <f>L63+L108+L147</f>
        <v>2803987.7578459955</v>
      </c>
      <c r="M156" s="235">
        <f>O156</f>
        <v>2803987.7572440985</v>
      </c>
      <c r="N156" s="161" t="s">
        <v>129</v>
      </c>
      <c r="O156" s="162">
        <f>O63+O108+O147</f>
        <v>2803987.7572440985</v>
      </c>
      <c r="P156" s="235">
        <f>R156</f>
        <v>2803987.7564922823</v>
      </c>
      <c r="Q156" s="161" t="s">
        <v>129</v>
      </c>
      <c r="R156" s="162">
        <f>R63+R108+R147</f>
        <v>2803987.7564922823</v>
      </c>
    </row>
    <row r="157" spans="1:18" s="51" customFormat="1" ht="35.4" customHeight="1" thickBot="1" x14ac:dyDescent="0.35">
      <c r="A157" s="122" t="s">
        <v>139</v>
      </c>
      <c r="B157" s="123" t="s">
        <v>146</v>
      </c>
      <c r="C157" s="124" t="s">
        <v>138</v>
      </c>
      <c r="D157" s="160">
        <f t="shared" ref="D157:R157" si="106">IFERROR(D156/12,"х")</f>
        <v>226292.52159507151</v>
      </c>
      <c r="E157" s="202" t="str">
        <f t="shared" si="106"/>
        <v>х</v>
      </c>
      <c r="F157" s="203">
        <f t="shared" si="106"/>
        <v>226292.52159507151</v>
      </c>
      <c r="G157" s="160">
        <f t="shared" si="106"/>
        <v>224109.45161676282</v>
      </c>
      <c r="H157" s="202" t="str">
        <f t="shared" si="106"/>
        <v>х</v>
      </c>
      <c r="I157" s="203">
        <f t="shared" si="106"/>
        <v>224109.45161676282</v>
      </c>
      <c r="J157" s="160">
        <f t="shared" si="106"/>
        <v>233665.64648716629</v>
      </c>
      <c r="K157" s="202" t="str">
        <f t="shared" si="106"/>
        <v>х</v>
      </c>
      <c r="L157" s="203">
        <f t="shared" si="106"/>
        <v>233665.64648716629</v>
      </c>
      <c r="M157" s="160">
        <f t="shared" si="106"/>
        <v>233665.6464370082</v>
      </c>
      <c r="N157" s="202" t="str">
        <f t="shared" si="106"/>
        <v>х</v>
      </c>
      <c r="O157" s="203">
        <f t="shared" si="106"/>
        <v>233665.6464370082</v>
      </c>
      <c r="P157" s="160">
        <f t="shared" si="106"/>
        <v>233665.64637435685</v>
      </c>
      <c r="Q157" s="202" t="str">
        <f t="shared" si="106"/>
        <v>х</v>
      </c>
      <c r="R157" s="203">
        <f t="shared" si="106"/>
        <v>233665.64637435685</v>
      </c>
    </row>
    <row r="158" spans="1:18" s="51" customFormat="1" ht="44.4" customHeight="1" x14ac:dyDescent="0.3">
      <c r="A158" s="125" t="s">
        <v>140</v>
      </c>
      <c r="B158" s="120" t="s">
        <v>156</v>
      </c>
      <c r="C158" s="126" t="s">
        <v>133</v>
      </c>
      <c r="D158" s="172" t="s">
        <v>129</v>
      </c>
      <c r="E158" s="173" t="s">
        <v>129</v>
      </c>
      <c r="F158" s="174" t="s">
        <v>129</v>
      </c>
      <c r="G158" s="172" t="s">
        <v>129</v>
      </c>
      <c r="H158" s="173" t="s">
        <v>129</v>
      </c>
      <c r="I158" s="174" t="s">
        <v>129</v>
      </c>
      <c r="J158" s="172" t="s">
        <v>129</v>
      </c>
      <c r="K158" s="173" t="s">
        <v>129</v>
      </c>
      <c r="L158" s="174" t="s">
        <v>129</v>
      </c>
      <c r="M158" s="172" t="s">
        <v>129</v>
      </c>
      <c r="N158" s="173" t="s">
        <v>129</v>
      </c>
      <c r="O158" s="174" t="s">
        <v>129</v>
      </c>
      <c r="P158" s="172" t="s">
        <v>129</v>
      </c>
      <c r="Q158" s="173" t="s">
        <v>129</v>
      </c>
      <c r="R158" s="174" t="s">
        <v>129</v>
      </c>
    </row>
    <row r="159" spans="1:18" s="51" customFormat="1" ht="35.4" customHeight="1" x14ac:dyDescent="0.3">
      <c r="A159" s="125" t="s">
        <v>142</v>
      </c>
      <c r="B159" s="127" t="s">
        <v>135</v>
      </c>
      <c r="C159" s="126" t="s">
        <v>136</v>
      </c>
      <c r="D159" s="172">
        <f>D155*1.2</f>
        <v>2178.8850311409274</v>
      </c>
      <c r="E159" s="173">
        <f>E155*1.2</f>
        <v>2178.8850311409274</v>
      </c>
      <c r="F159" s="174" t="s">
        <v>129</v>
      </c>
      <c r="G159" s="172">
        <f>G155*1.2</f>
        <v>1895.9727571642427</v>
      </c>
      <c r="H159" s="173">
        <f>H155*1.2</f>
        <v>1895.9727571642427</v>
      </c>
      <c r="I159" s="174" t="s">
        <v>129</v>
      </c>
      <c r="J159" s="172">
        <f>K159</f>
        <v>3134.3989341260594</v>
      </c>
      <c r="K159" s="173">
        <f>K155*1.2</f>
        <v>3134.3989341260594</v>
      </c>
      <c r="L159" s="174" t="s">
        <v>129</v>
      </c>
      <c r="M159" s="172">
        <f>M155*1.2</f>
        <v>3134.3960876023966</v>
      </c>
      <c r="N159" s="173">
        <f>N155*1.2</f>
        <v>3134.3960876023966</v>
      </c>
      <c r="O159" s="174" t="s">
        <v>129</v>
      </c>
      <c r="P159" s="172">
        <f>Q159</f>
        <v>3134.396870665119</v>
      </c>
      <c r="Q159" s="173">
        <f>Q155*1.2</f>
        <v>3134.396870665119</v>
      </c>
      <c r="R159" s="174" t="s">
        <v>129</v>
      </c>
    </row>
    <row r="160" spans="1:18" s="51" customFormat="1" ht="35.4" customHeight="1" x14ac:dyDescent="0.3">
      <c r="A160" s="125" t="s">
        <v>143</v>
      </c>
      <c r="B160" s="127" t="s">
        <v>144</v>
      </c>
      <c r="C160" s="126" t="s">
        <v>138</v>
      </c>
      <c r="D160" s="172">
        <f>F160</f>
        <v>3258612.3109690296</v>
      </c>
      <c r="E160" s="173" t="s">
        <v>129</v>
      </c>
      <c r="F160" s="174">
        <f>F156*1.2</f>
        <v>3258612.3109690296</v>
      </c>
      <c r="G160" s="172">
        <f>G156*1.2</f>
        <v>3227176.1032813848</v>
      </c>
      <c r="H160" s="173" t="s">
        <v>129</v>
      </c>
      <c r="I160" s="174">
        <f>I156*1.2</f>
        <v>3227176.1032813848</v>
      </c>
      <c r="J160" s="172">
        <f>L160</f>
        <v>3364785.3094151947</v>
      </c>
      <c r="K160" s="173" t="s">
        <v>129</v>
      </c>
      <c r="L160" s="174">
        <f>L156*1.2</f>
        <v>3364785.3094151947</v>
      </c>
      <c r="M160" s="172">
        <f>O160</f>
        <v>3364785.3086929182</v>
      </c>
      <c r="N160" s="173" t="s">
        <v>129</v>
      </c>
      <c r="O160" s="174">
        <f>O156*1.2</f>
        <v>3364785.3086929182</v>
      </c>
      <c r="P160" s="172">
        <f>R160</f>
        <v>3364785.3077907385</v>
      </c>
      <c r="Q160" s="173" t="s">
        <v>129</v>
      </c>
      <c r="R160" s="174">
        <f>R156*1.2</f>
        <v>3364785.3077907385</v>
      </c>
    </row>
    <row r="161" spans="1:18" s="51" customFormat="1" ht="35.4" customHeight="1" thickBot="1" x14ac:dyDescent="0.35">
      <c r="A161" s="128" t="s">
        <v>149</v>
      </c>
      <c r="B161" s="129" t="s">
        <v>146</v>
      </c>
      <c r="C161" s="130" t="s">
        <v>138</v>
      </c>
      <c r="D161" s="241">
        <f>D157*1.2</f>
        <v>271551.0259140858</v>
      </c>
      <c r="E161" s="244" t="s">
        <v>129</v>
      </c>
      <c r="F161" s="243">
        <f>F157*1.2</f>
        <v>271551.0259140858</v>
      </c>
      <c r="G161" s="241">
        <f>G157*1.2</f>
        <v>268931.34194011538</v>
      </c>
      <c r="H161" s="244" t="s">
        <v>129</v>
      </c>
      <c r="I161" s="243">
        <f>I157*1.2</f>
        <v>268931.34194011538</v>
      </c>
      <c r="J161" s="241">
        <f>J157*1.2</f>
        <v>280398.77578459954</v>
      </c>
      <c r="K161" s="244" t="s">
        <v>129</v>
      </c>
      <c r="L161" s="243">
        <f>L157*1.2</f>
        <v>280398.77578459954</v>
      </c>
      <c r="M161" s="241">
        <f>M157*1.2</f>
        <v>280398.77572440985</v>
      </c>
      <c r="N161" s="244" t="s">
        <v>129</v>
      </c>
      <c r="O161" s="243">
        <f>O157*1.2</f>
        <v>280398.77572440985</v>
      </c>
      <c r="P161" s="241">
        <f>P157*1.2</f>
        <v>280398.77564922819</v>
      </c>
      <c r="Q161" s="244" t="s">
        <v>129</v>
      </c>
      <c r="R161" s="243">
        <f>R157*1.2</f>
        <v>280398.77564922819</v>
      </c>
    </row>
    <row r="162" spans="1:18" s="51" customFormat="1" x14ac:dyDescent="0.3">
      <c r="B162" s="31"/>
      <c r="C162" s="31"/>
      <c r="D162" s="284"/>
      <c r="E162" s="284"/>
      <c r="F162" s="284"/>
      <c r="G162" s="284"/>
      <c r="H162" s="284"/>
      <c r="I162" s="284"/>
      <c r="J162" s="285"/>
      <c r="K162" s="284"/>
      <c r="L162" s="284"/>
      <c r="M162" s="285"/>
      <c r="N162" s="284"/>
      <c r="O162" s="284"/>
      <c r="P162" s="285"/>
      <c r="Q162" s="284"/>
      <c r="R162" s="284"/>
    </row>
    <row r="163" spans="1:18" ht="15.6" x14ac:dyDescent="0.3">
      <c r="B163" s="319" t="str">
        <f>[3]Rekv!$C$26</f>
        <v>Директор</v>
      </c>
      <c r="C163" s="320"/>
      <c r="D163" s="321"/>
      <c r="E163" s="322"/>
      <c r="F163" s="323" t="s">
        <v>176</v>
      </c>
      <c r="G163" s="324"/>
    </row>
    <row r="164" spans="1:18" ht="26.4" x14ac:dyDescent="0.3">
      <c r="B164" s="324" t="s">
        <v>177</v>
      </c>
      <c r="C164" s="325"/>
      <c r="D164" s="335" t="s">
        <v>178</v>
      </c>
      <c r="E164" s="335"/>
      <c r="F164" s="325" t="s">
        <v>179</v>
      </c>
      <c r="G164" s="324"/>
    </row>
    <row r="165" spans="1:18" ht="15.6" x14ac:dyDescent="0.3">
      <c r="B165" s="319" t="s">
        <v>180</v>
      </c>
      <c r="C165" s="326"/>
      <c r="D165" s="321"/>
      <c r="E165" s="322"/>
      <c r="F165" s="327" t="s">
        <v>181</v>
      </c>
      <c r="G165" s="326"/>
    </row>
    <row r="166" spans="1:18" x14ac:dyDescent="0.3">
      <c r="B166" s="328" t="s">
        <v>182</v>
      </c>
      <c r="C166" s="326"/>
      <c r="D166" s="335" t="s">
        <v>178</v>
      </c>
      <c r="E166" s="335"/>
      <c r="F166" s="329" t="s">
        <v>179</v>
      </c>
      <c r="G166" s="328"/>
    </row>
  </sheetData>
  <mergeCells count="39">
    <mergeCell ref="A17:A18"/>
    <mergeCell ref="D10:D12"/>
    <mergeCell ref="E10:F10"/>
    <mergeCell ref="G10:G12"/>
    <mergeCell ref="H10:I10"/>
    <mergeCell ref="F11:F12"/>
    <mergeCell ref="I11:I12"/>
    <mergeCell ref="B8:B12"/>
    <mergeCell ref="C8:C12"/>
    <mergeCell ref="A8:A12"/>
    <mergeCell ref="B5:R5"/>
    <mergeCell ref="B6:R6"/>
    <mergeCell ref="D8:F9"/>
    <mergeCell ref="G8:R8"/>
    <mergeCell ref="G9:I9"/>
    <mergeCell ref="J9:L9"/>
    <mergeCell ref="M9:O9"/>
    <mergeCell ref="P9:R9"/>
    <mergeCell ref="B7:R7"/>
    <mergeCell ref="Q11:Q12"/>
    <mergeCell ref="B20:R20"/>
    <mergeCell ref="J10:J12"/>
    <mergeCell ref="K10:L10"/>
    <mergeCell ref="M10:M12"/>
    <mergeCell ref="N10:O10"/>
    <mergeCell ref="P10:P12"/>
    <mergeCell ref="Q10:R10"/>
    <mergeCell ref="L11:L12"/>
    <mergeCell ref="O11:O12"/>
    <mergeCell ref="R11:R12"/>
    <mergeCell ref="E11:E12"/>
    <mergeCell ref="H11:H12"/>
    <mergeCell ref="K11:K12"/>
    <mergeCell ref="N11:N12"/>
    <mergeCell ref="D164:E164"/>
    <mergeCell ref="D166:E166"/>
    <mergeCell ref="B69:R69"/>
    <mergeCell ref="B114:R114"/>
    <mergeCell ref="B153:R153"/>
  </mergeCells>
  <pageMargins left="0" right="0" top="0.55118110236220474" bottom="0.19685039370078741" header="0.31496062992125984" footer="0.31496062992125984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E843-9BE0-4747-96BF-577F2A8D91FA}">
  <dimension ref="A1:Q36"/>
  <sheetViews>
    <sheetView tabSelected="1" workbookViewId="0">
      <selection activeCell="H6" sqref="H6"/>
    </sheetView>
  </sheetViews>
  <sheetFormatPr defaultRowHeight="14.4" x14ac:dyDescent="0.3"/>
  <cols>
    <col min="1" max="1" width="43.109375" style="82" customWidth="1"/>
    <col min="2" max="2" width="12.33203125" style="86" customWidth="1"/>
    <col min="3" max="3" width="14.44140625" style="82" customWidth="1"/>
    <col min="4" max="4" width="13.5546875" style="82" customWidth="1"/>
    <col min="5" max="5" width="13.44140625" style="82" customWidth="1"/>
    <col min="6" max="6" width="13" style="82" customWidth="1"/>
  </cols>
  <sheetData>
    <row r="1" spans="1:17" x14ac:dyDescent="0.3">
      <c r="D1" s="318" t="s">
        <v>175</v>
      </c>
    </row>
    <row r="2" spans="1:17" x14ac:dyDescent="0.3">
      <c r="D2" s="318" t="s">
        <v>171</v>
      </c>
    </row>
    <row r="3" spans="1:17" x14ac:dyDescent="0.3">
      <c r="D3" s="318" t="s">
        <v>172</v>
      </c>
    </row>
    <row r="4" spans="1:17" x14ac:dyDescent="0.3">
      <c r="D4" s="318" t="s">
        <v>174</v>
      </c>
    </row>
    <row r="5" spans="1:17" s="51" customFormat="1" ht="82.2" customHeight="1" x14ac:dyDescent="0.3">
      <c r="A5" s="337" t="s">
        <v>169</v>
      </c>
      <c r="B5" s="338"/>
      <c r="C5" s="338"/>
      <c r="D5" s="338"/>
      <c r="E5" s="338"/>
      <c r="F5" s="338"/>
      <c r="G5" s="178"/>
    </row>
    <row r="6" spans="1:17" s="375" customFormat="1" ht="26.4" customHeight="1" x14ac:dyDescent="0.3">
      <c r="A6" s="376" t="s">
        <v>0</v>
      </c>
      <c r="B6" s="377"/>
      <c r="C6" s="377"/>
      <c r="D6" s="377"/>
      <c r="E6" s="377"/>
      <c r="F6" s="377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</row>
    <row r="7" spans="1:17" s="51" customFormat="1" ht="15" thickBot="1" x14ac:dyDescent="0.35">
      <c r="B7" s="269"/>
      <c r="C7" s="82"/>
      <c r="D7" s="82"/>
      <c r="E7" s="82"/>
      <c r="F7" s="82"/>
    </row>
    <row r="8" spans="1:17" s="51" customFormat="1" ht="15.6" x14ac:dyDescent="0.3">
      <c r="A8" s="370" t="s">
        <v>2</v>
      </c>
      <c r="B8" s="372" t="s">
        <v>158</v>
      </c>
      <c r="C8" s="369" t="s">
        <v>5</v>
      </c>
      <c r="D8" s="365"/>
      <c r="E8" s="365"/>
      <c r="F8" s="343"/>
    </row>
    <row r="9" spans="1:17" s="51" customFormat="1" ht="47.4" thickBot="1" x14ac:dyDescent="0.35">
      <c r="A9" s="371"/>
      <c r="B9" s="373"/>
      <c r="C9" s="306" t="s">
        <v>6</v>
      </c>
      <c r="D9" s="307" t="s">
        <v>7</v>
      </c>
      <c r="E9" s="307" t="s">
        <v>8</v>
      </c>
      <c r="F9" s="18" t="s">
        <v>9</v>
      </c>
    </row>
    <row r="10" spans="1:17" s="51" customFormat="1" ht="31.2" x14ac:dyDescent="0.3">
      <c r="A10" s="270" t="s">
        <v>152</v>
      </c>
      <c r="B10" s="271" t="s">
        <v>133</v>
      </c>
      <c r="C10" s="308" t="s">
        <v>129</v>
      </c>
      <c r="D10" s="309" t="s">
        <v>129</v>
      </c>
      <c r="E10" s="309" t="s">
        <v>129</v>
      </c>
      <c r="F10" s="310" t="s">
        <v>129</v>
      </c>
    </row>
    <row r="11" spans="1:17" s="51" customFormat="1" ht="15.6" x14ac:dyDescent="0.3">
      <c r="A11" s="272" t="s">
        <v>135</v>
      </c>
      <c r="B11" s="273" t="s">
        <v>136</v>
      </c>
      <c r="C11" s="311">
        <f>C12+C13</f>
        <v>1579.977297636869</v>
      </c>
      <c r="D11" s="312">
        <f>D12+D13+0.01</f>
        <v>2611.9991117717163</v>
      </c>
      <c r="E11" s="312">
        <f t="shared" ref="E11" si="0">E12+E13</f>
        <v>2611.9967396686638</v>
      </c>
      <c r="F11" s="313">
        <f>F12+F13</f>
        <v>2611.9973922209324</v>
      </c>
    </row>
    <row r="12" spans="1:17" s="51" customFormat="1" x14ac:dyDescent="0.3">
      <c r="A12" s="278" t="s">
        <v>153</v>
      </c>
      <c r="B12" s="279" t="s">
        <v>136</v>
      </c>
      <c r="C12" s="311">
        <f>'Додаток 2'!G62</f>
        <v>1077.5147038304133</v>
      </c>
      <c r="D12" s="312">
        <f>'Додаток 2'!J62</f>
        <v>2109.5266061959251</v>
      </c>
      <c r="E12" s="312">
        <f>'Додаток 2'!M62</f>
        <v>2109.5341462362726</v>
      </c>
      <c r="F12" s="313">
        <f>'Додаток 2'!P62</f>
        <v>2109.5347973811126</v>
      </c>
    </row>
    <row r="13" spans="1:17" s="51" customFormat="1" x14ac:dyDescent="0.3">
      <c r="A13" s="278" t="s">
        <v>154</v>
      </c>
      <c r="B13" s="279" t="s">
        <v>136</v>
      </c>
      <c r="C13" s="311">
        <f>'Додаток 2'!G107</f>
        <v>502.46259380645563</v>
      </c>
      <c r="D13" s="312">
        <f>'Додаток 2'!J107</f>
        <v>502.46250557579089</v>
      </c>
      <c r="E13" s="312">
        <f>'Додаток 2'!M107</f>
        <v>502.46259343239132</v>
      </c>
      <c r="F13" s="313">
        <f>'Додаток 2'!P107</f>
        <v>502.46259483981981</v>
      </c>
    </row>
    <row r="14" spans="1:17" s="51" customFormat="1" x14ac:dyDescent="0.3">
      <c r="A14" s="278" t="s">
        <v>155</v>
      </c>
      <c r="B14" s="279" t="s">
        <v>136</v>
      </c>
      <c r="C14" s="311" t="s">
        <v>129</v>
      </c>
      <c r="D14" s="312" t="s">
        <v>129</v>
      </c>
      <c r="E14" s="312" t="s">
        <v>129</v>
      </c>
      <c r="F14" s="313" t="s">
        <v>129</v>
      </c>
    </row>
    <row r="15" spans="1:17" s="51" customFormat="1" ht="31.2" x14ac:dyDescent="0.3">
      <c r="A15" s="272" t="s">
        <v>146</v>
      </c>
      <c r="B15" s="273" t="s">
        <v>138</v>
      </c>
      <c r="C15" s="311">
        <f>C16+C17+C18</f>
        <v>224109.45161676282</v>
      </c>
      <c r="D15" s="312">
        <f>D16+D17+D18</f>
        <v>233665.64648716626</v>
      </c>
      <c r="E15" s="312">
        <f>E16+E17+E18</f>
        <v>233665.64643700825</v>
      </c>
      <c r="F15" s="313">
        <f>F16+F17+F18+0.01</f>
        <v>233665.6463743569</v>
      </c>
    </row>
    <row r="16" spans="1:17" s="51" customFormat="1" x14ac:dyDescent="0.3">
      <c r="A16" s="278" t="s">
        <v>153</v>
      </c>
      <c r="B16" s="279" t="s">
        <v>138</v>
      </c>
      <c r="C16" s="311">
        <f>'Додаток 2'!G64</f>
        <v>134090.40942567974</v>
      </c>
      <c r="D16" s="312">
        <f>'Додаток 2'!J64</f>
        <v>136969.96459045881</v>
      </c>
      <c r="E16" s="312">
        <f>'Додаток 2'!M64</f>
        <v>136969.96485281808</v>
      </c>
      <c r="F16" s="313">
        <f>'Додаток 2'!P64</f>
        <v>136969.96469708576</v>
      </c>
    </row>
    <row r="17" spans="1:6" s="51" customFormat="1" x14ac:dyDescent="0.3">
      <c r="A17" s="278" t="s">
        <v>154</v>
      </c>
      <c r="B17" s="279" t="s">
        <v>138</v>
      </c>
      <c r="C17" s="311">
        <f>'Додаток 2'!G109</f>
        <v>81785.515287335773</v>
      </c>
      <c r="D17" s="312">
        <f>'Додаток 2'!J109</f>
        <v>88462.154998286744</v>
      </c>
      <c r="E17" s="312">
        <f>'Додаток 2'!M109</f>
        <v>88462.154761014579</v>
      </c>
      <c r="F17" s="313">
        <f>'Додаток 2'!P109</f>
        <v>88462.145401790985</v>
      </c>
    </row>
    <row r="18" spans="1:6" s="51" customFormat="1" x14ac:dyDescent="0.3">
      <c r="A18" s="278" t="s">
        <v>155</v>
      </c>
      <c r="B18" s="279" t="s">
        <v>138</v>
      </c>
      <c r="C18" s="311">
        <f>'Додаток 2'!G148</f>
        <v>8233.5269037473263</v>
      </c>
      <c r="D18" s="312">
        <f>'Додаток 2'!J148</f>
        <v>8233.5268984207087</v>
      </c>
      <c r="E18" s="312">
        <f>'Додаток 2'!M148</f>
        <v>8233.5268231755781</v>
      </c>
      <c r="F18" s="313">
        <f>'Додаток 2'!P148</f>
        <v>8233.5262754801461</v>
      </c>
    </row>
    <row r="19" spans="1:6" s="51" customFormat="1" ht="46.8" x14ac:dyDescent="0.3">
      <c r="A19" s="272" t="s">
        <v>164</v>
      </c>
      <c r="B19" s="279" t="s">
        <v>157</v>
      </c>
      <c r="C19" s="311">
        <v>11.23</v>
      </c>
      <c r="D19" s="289"/>
      <c r="E19" s="289"/>
      <c r="F19" s="290"/>
    </row>
    <row r="20" spans="1:6" s="51" customFormat="1" ht="63" thickBot="1" x14ac:dyDescent="0.35">
      <c r="A20" s="281" t="s">
        <v>165</v>
      </c>
      <c r="B20" s="282" t="s">
        <v>157</v>
      </c>
      <c r="C20" s="314">
        <v>22.33</v>
      </c>
      <c r="D20" s="291"/>
      <c r="E20" s="291"/>
      <c r="F20" s="292"/>
    </row>
    <row r="21" spans="1:6" s="51" customFormat="1" ht="31.2" x14ac:dyDescent="0.3">
      <c r="A21" s="274" t="s">
        <v>156</v>
      </c>
      <c r="B21" s="275" t="s">
        <v>133</v>
      </c>
      <c r="C21" s="315" t="s">
        <v>129</v>
      </c>
      <c r="D21" s="316" t="s">
        <v>129</v>
      </c>
      <c r="E21" s="316" t="s">
        <v>129</v>
      </c>
      <c r="F21" s="317" t="s">
        <v>129</v>
      </c>
    </row>
    <row r="22" spans="1:6" s="51" customFormat="1" ht="16.2" x14ac:dyDescent="0.3">
      <c r="A22" s="276" t="s">
        <v>135</v>
      </c>
      <c r="B22" s="277" t="s">
        <v>136</v>
      </c>
      <c r="C22" s="311">
        <f>C23+C24+0.01</f>
        <v>1895.9827571642427</v>
      </c>
      <c r="D22" s="312">
        <f>D23+D24</f>
        <v>3134.3969341260595</v>
      </c>
      <c r="E22" s="312">
        <f t="shared" ref="E22" si="1">E23+E24</f>
        <v>3134.3960876023966</v>
      </c>
      <c r="F22" s="313">
        <f>F23+F24-0.01</f>
        <v>3134.3868706651183</v>
      </c>
    </row>
    <row r="23" spans="1:6" s="51" customFormat="1" x14ac:dyDescent="0.3">
      <c r="A23" s="278" t="s">
        <v>153</v>
      </c>
      <c r="B23" s="280" t="s">
        <v>136</v>
      </c>
      <c r="C23" s="311">
        <f>C12*1.2</f>
        <v>1293.017644596496</v>
      </c>
      <c r="D23" s="312">
        <f>D12*1.2+0.01</f>
        <v>2531.4419274351103</v>
      </c>
      <c r="E23" s="312">
        <f t="shared" ref="E23" si="2">E12*1.2</f>
        <v>2531.4409754835269</v>
      </c>
      <c r="F23" s="313">
        <f>F12*1.2</f>
        <v>2531.4417568573349</v>
      </c>
    </row>
    <row r="24" spans="1:6" s="51" customFormat="1" x14ac:dyDescent="0.3">
      <c r="A24" s="278" t="s">
        <v>154</v>
      </c>
      <c r="B24" s="280" t="s">
        <v>136</v>
      </c>
      <c r="C24" s="311">
        <f>C13*1.2</f>
        <v>602.95511256774671</v>
      </c>
      <c r="D24" s="312">
        <f>D13*1.2</f>
        <v>602.95500669094906</v>
      </c>
      <c r="E24" s="312">
        <f t="shared" ref="E24:F24" si="3">E13*1.2</f>
        <v>602.95511211886958</v>
      </c>
      <c r="F24" s="313">
        <f t="shared" si="3"/>
        <v>602.95511380778373</v>
      </c>
    </row>
    <row r="25" spans="1:6" s="51" customFormat="1" x14ac:dyDescent="0.3">
      <c r="A25" s="278" t="s">
        <v>155</v>
      </c>
      <c r="B25" s="280" t="s">
        <v>136</v>
      </c>
      <c r="C25" s="311" t="s">
        <v>129</v>
      </c>
      <c r="D25" s="312" t="s">
        <v>129</v>
      </c>
      <c r="E25" s="312" t="s">
        <v>129</v>
      </c>
      <c r="F25" s="313" t="s">
        <v>129</v>
      </c>
    </row>
    <row r="26" spans="1:6" s="51" customFormat="1" ht="32.4" x14ac:dyDescent="0.3">
      <c r="A26" s="276" t="s">
        <v>146</v>
      </c>
      <c r="B26" s="277" t="s">
        <v>138</v>
      </c>
      <c r="C26" s="311">
        <f>C27+C28+C29</f>
        <v>268931.34194011538</v>
      </c>
      <c r="D26" s="312">
        <f t="shared" ref="D26:F26" si="4">D27+D28+D29</f>
        <v>280398.77578459954</v>
      </c>
      <c r="E26" s="312">
        <f t="shared" si="4"/>
        <v>280398.7757244099</v>
      </c>
      <c r="F26" s="313">
        <f t="shared" si="4"/>
        <v>280398.78364922828</v>
      </c>
    </row>
    <row r="27" spans="1:6" s="51" customFormat="1" x14ac:dyDescent="0.3">
      <c r="A27" s="278" t="s">
        <v>153</v>
      </c>
      <c r="B27" s="280" t="s">
        <v>138</v>
      </c>
      <c r="C27" s="311">
        <f>C16*1.2</f>
        <v>160908.49131081568</v>
      </c>
      <c r="D27" s="312">
        <f>D16*1.2</f>
        <v>164363.95750855058</v>
      </c>
      <c r="E27" s="312">
        <f t="shared" ref="E27:F27" si="5">E16*1.2</f>
        <v>164363.9578233817</v>
      </c>
      <c r="F27" s="313">
        <f t="shared" si="5"/>
        <v>164363.95763650289</v>
      </c>
    </row>
    <row r="28" spans="1:6" s="51" customFormat="1" x14ac:dyDescent="0.3">
      <c r="A28" s="278" t="s">
        <v>154</v>
      </c>
      <c r="B28" s="280" t="s">
        <v>138</v>
      </c>
      <c r="C28" s="311">
        <f t="shared" ref="C28:E28" si="6">C17*1.2</f>
        <v>98142.618344802919</v>
      </c>
      <c r="D28" s="312">
        <f t="shared" si="6"/>
        <v>106154.58599794409</v>
      </c>
      <c r="E28" s="312">
        <f t="shared" si="6"/>
        <v>106154.58571321749</v>
      </c>
      <c r="F28" s="313">
        <f>F17*1.2+0.02</f>
        <v>106154.59448214919</v>
      </c>
    </row>
    <row r="29" spans="1:6" s="51" customFormat="1" x14ac:dyDescent="0.3">
      <c r="A29" s="278" t="s">
        <v>155</v>
      </c>
      <c r="B29" s="280" t="s">
        <v>138</v>
      </c>
      <c r="C29" s="311">
        <f t="shared" ref="C29:F29" si="7">C18*1.2</f>
        <v>9880.2322844967912</v>
      </c>
      <c r="D29" s="312">
        <f t="shared" si="7"/>
        <v>9880.2322781048497</v>
      </c>
      <c r="E29" s="312">
        <f t="shared" si="7"/>
        <v>9880.2321878106941</v>
      </c>
      <c r="F29" s="313">
        <f t="shared" si="7"/>
        <v>9880.2315305761749</v>
      </c>
    </row>
    <row r="30" spans="1:6" s="51" customFormat="1" ht="46.8" x14ac:dyDescent="0.3">
      <c r="A30" s="272" t="s">
        <v>164</v>
      </c>
      <c r="B30" s="279" t="s">
        <v>157</v>
      </c>
      <c r="C30" s="311">
        <f>C19*1.2</f>
        <v>13.476000000000001</v>
      </c>
      <c r="D30" s="289"/>
      <c r="E30" s="289"/>
      <c r="F30" s="290"/>
    </row>
    <row r="31" spans="1:6" s="51" customFormat="1" ht="63" thickBot="1" x14ac:dyDescent="0.35">
      <c r="A31" s="281" t="s">
        <v>166</v>
      </c>
      <c r="B31" s="282" t="s">
        <v>157</v>
      </c>
      <c r="C31" s="314">
        <f t="shared" ref="C31" si="8">C20*1.2</f>
        <v>26.795999999999996</v>
      </c>
      <c r="D31" s="291"/>
      <c r="E31" s="291"/>
      <c r="F31" s="292"/>
    </row>
    <row r="32" spans="1:6" s="51" customFormat="1" x14ac:dyDescent="0.3">
      <c r="B32" s="269"/>
      <c r="C32" s="82"/>
      <c r="D32" s="82"/>
      <c r="E32" s="82"/>
      <c r="F32" s="82"/>
    </row>
    <row r="33" spans="1:6" ht="15.6" x14ac:dyDescent="0.3">
      <c r="A33" s="319" t="str">
        <f>[3]Rekv!$C$26</f>
        <v>Директор</v>
      </c>
      <c r="B33" s="320"/>
      <c r="C33" s="321"/>
      <c r="D33" s="322"/>
      <c r="E33" s="323" t="s">
        <v>176</v>
      </c>
      <c r="F33" s="324"/>
    </row>
    <row r="34" spans="1:6" ht="26.4" x14ac:dyDescent="0.3">
      <c r="A34" s="324" t="s">
        <v>177</v>
      </c>
      <c r="B34" s="325"/>
      <c r="C34" s="335" t="s">
        <v>178</v>
      </c>
      <c r="D34" s="335"/>
      <c r="E34" s="325" t="s">
        <v>179</v>
      </c>
      <c r="F34" s="324"/>
    </row>
    <row r="35" spans="1:6" ht="15.6" x14ac:dyDescent="0.3">
      <c r="A35" s="319" t="s">
        <v>180</v>
      </c>
      <c r="B35" s="326"/>
      <c r="C35" s="321"/>
      <c r="D35" s="322"/>
      <c r="E35" s="327" t="s">
        <v>181</v>
      </c>
      <c r="F35" s="326"/>
    </row>
    <row r="36" spans="1:6" x14ac:dyDescent="0.3">
      <c r="A36" s="328" t="s">
        <v>182</v>
      </c>
      <c r="B36" s="326"/>
      <c r="C36" s="335" t="s">
        <v>178</v>
      </c>
      <c r="D36" s="335"/>
      <c r="E36" s="329" t="s">
        <v>179</v>
      </c>
      <c r="F36" s="328"/>
    </row>
  </sheetData>
  <mergeCells count="7">
    <mergeCell ref="C34:D34"/>
    <mergeCell ref="C36:D36"/>
    <mergeCell ref="A6:F6"/>
    <mergeCell ref="A5:F5"/>
    <mergeCell ref="C8:F8"/>
    <mergeCell ref="A8:A9"/>
    <mergeCell ref="B8:B9"/>
  </mergeCells>
  <pageMargins left="0.31496062992125984" right="0" top="0.15748031496062992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Додаток 2</vt:lpstr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2026-06-22T06:49:02Z</cp:lastPrinted>
  <dcterms:created xsi:type="dcterms:W3CDTF">2015-06-05T18:19:34Z</dcterms:created>
  <dcterms:modified xsi:type="dcterms:W3CDTF">2026-06-22T06:50:22Z</dcterms:modified>
</cp:coreProperties>
</file>